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d.docs.live.net/e6276b4c6ce9d2da/Área de Trabalho/projeto CTPM/CTPM 2021/orçamentos/2 Revitalização muro e calçada/"/>
    </mc:Choice>
  </mc:AlternateContent>
  <xr:revisionPtr revIDLastSave="127" documentId="13_ncr:1_{6BB65166-B793-49C4-9FA1-7E0D28603E41}" xr6:coauthVersionLast="47" xr6:coauthVersionMax="47" xr10:uidLastSave="{4F121B5D-CB82-47F9-A2E8-07AC98F779D5}"/>
  <bookViews>
    <workbookView xWindow="-110" yWindow="-110" windowWidth="19420" windowHeight="10300" tabRatio="661" xr2:uid="{00000000-000D-0000-FFFF-FFFF00000000}"/>
  </bookViews>
  <sheets>
    <sheet name="PLANILHA ORÇAMENTÁRIA" sheetId="13" r:id="rId1"/>
    <sheet name="CÁLCULO DO BDI" sheetId="28" r:id="rId2"/>
    <sheet name="CRONOGRAMA FÍSICO-FINANCEIRO" sheetId="29" r:id="rId3"/>
  </sheets>
  <definedNames>
    <definedName name="__xlnm._FilterDatabase">#REF!</definedName>
    <definedName name="_xlnm.Print_Area" localSheetId="1">'CÁLCULO DO BDI'!$A$1:$I$33</definedName>
    <definedName name="_xlnm.Print_Area" localSheetId="0">'PLANILHA ORÇAMENTÁRIA'!$A$1:$M$75</definedName>
    <definedName name="Print_Area" localSheetId="1">'CÁLCULO DO BDI'!$A$1:$I$33</definedName>
    <definedName name="Print_Area" localSheetId="0">'PLANILHA ORÇAMENTÁRIA'!$A$24:$M$74</definedName>
    <definedName name="Print_Titles" localSheetId="0">'PLANILHA ORÇAMENTÁRIA'!$1:$7</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4" i="13" l="1"/>
  <c r="Q39" i="29"/>
  <c r="M39" i="29"/>
  <c r="I39" i="29"/>
  <c r="E39" i="29"/>
  <c r="D40" i="29"/>
  <c r="D39" i="29"/>
  <c r="D38" i="29"/>
  <c r="H30" i="13"/>
  <c r="H57" i="13"/>
  <c r="H55" i="13"/>
  <c r="H53" i="13"/>
  <c r="H52" i="13"/>
  <c r="H42" i="13"/>
  <c r="H32" i="13"/>
  <c r="H22" i="13"/>
  <c r="K44" i="13"/>
  <c r="M44" i="13" s="1"/>
  <c r="H29" i="13"/>
  <c r="H39" i="13"/>
  <c r="H35" i="13"/>
  <c r="H34" i="13"/>
  <c r="H17" i="13"/>
  <c r="H56" i="13"/>
  <c r="I54" i="13"/>
  <c r="I8" i="29"/>
  <c r="M8" i="29" s="1"/>
  <c r="Q8" i="29" s="1"/>
  <c r="I9" i="29"/>
  <c r="M9" i="29" s="1"/>
  <c r="Q9" i="29" s="1"/>
  <c r="I10" i="29"/>
  <c r="M10" i="29" s="1"/>
  <c r="Q10" i="29" s="1"/>
  <c r="I11" i="29"/>
  <c r="M11" i="29" s="1"/>
  <c r="Q11" i="29" s="1"/>
  <c r="I12" i="29"/>
  <c r="M12" i="29" s="1"/>
  <c r="Q12" i="29" s="1"/>
  <c r="I13" i="29"/>
  <c r="M13" i="29" s="1"/>
  <c r="Q13" i="29" s="1"/>
  <c r="I14" i="29"/>
  <c r="M14" i="29" s="1"/>
  <c r="Q14" i="29" s="1"/>
  <c r="I15" i="29"/>
  <c r="M15" i="29" s="1"/>
  <c r="Q15" i="29" s="1"/>
  <c r="I16" i="29"/>
  <c r="M16" i="29" s="1"/>
  <c r="Q16" i="29" s="1"/>
  <c r="I17" i="29"/>
  <c r="M17" i="29" s="1"/>
  <c r="Q17" i="29" s="1"/>
  <c r="I18" i="29"/>
  <c r="M18" i="29" s="1"/>
  <c r="Q18" i="29" s="1"/>
  <c r="I19" i="29"/>
  <c r="M19" i="29" s="1"/>
  <c r="Q19" i="29" s="1"/>
  <c r="I20" i="29"/>
  <c r="M20" i="29" s="1"/>
  <c r="Q20" i="29" s="1"/>
  <c r="I21" i="29"/>
  <c r="M21" i="29" s="1"/>
  <c r="Q21" i="29" s="1"/>
  <c r="I22" i="29"/>
  <c r="M22" i="29" s="1"/>
  <c r="Q22" i="29" s="1"/>
  <c r="I23" i="29"/>
  <c r="M23" i="29" s="1"/>
  <c r="Q23" i="29" s="1"/>
  <c r="I24" i="29"/>
  <c r="M24" i="29" s="1"/>
  <c r="Q24" i="29" s="1"/>
  <c r="I25" i="29"/>
  <c r="M25" i="29" s="1"/>
  <c r="Q25" i="29" s="1"/>
  <c r="I26" i="29"/>
  <c r="M26" i="29" s="1"/>
  <c r="Q26" i="29" s="1"/>
  <c r="I27" i="29"/>
  <c r="M27" i="29" s="1"/>
  <c r="Q27" i="29" s="1"/>
  <c r="I28" i="29"/>
  <c r="M28" i="29" s="1"/>
  <c r="Q28" i="29" s="1"/>
  <c r="I29" i="29"/>
  <c r="M29" i="29" s="1"/>
  <c r="Q29" i="29" s="1"/>
  <c r="I30" i="29"/>
  <c r="M30" i="29" s="1"/>
  <c r="Q30" i="29" s="1"/>
  <c r="I31" i="29"/>
  <c r="M31" i="29" s="1"/>
  <c r="Q31" i="29" s="1"/>
  <c r="I32" i="29"/>
  <c r="M32" i="29" s="1"/>
  <c r="Q32" i="29" s="1"/>
  <c r="I33" i="29"/>
  <c r="M33" i="29" s="1"/>
  <c r="Q33" i="29" s="1"/>
  <c r="I34" i="29"/>
  <c r="M34" i="29" s="1"/>
  <c r="Q34" i="29" s="1"/>
  <c r="I35" i="29"/>
  <c r="M35" i="29" s="1"/>
  <c r="Q35" i="29" s="1"/>
  <c r="I36" i="29"/>
  <c r="M36" i="29" s="1"/>
  <c r="Q36" i="29" s="1"/>
  <c r="I37" i="29"/>
  <c r="M37" i="29" s="1"/>
  <c r="Q37" i="29" s="1"/>
  <c r="I38" i="29"/>
  <c r="M38" i="29" s="1"/>
  <c r="Q38" i="29" s="1"/>
  <c r="I40" i="29"/>
  <c r="M40" i="29" s="1"/>
  <c r="Q40" i="29" s="1"/>
  <c r="I41" i="29"/>
  <c r="M41" i="29" s="1"/>
  <c r="Q41" i="29" s="1"/>
  <c r="I42" i="29"/>
  <c r="M42" i="29" s="1"/>
  <c r="Q42" i="29" s="1"/>
  <c r="I43" i="29"/>
  <c r="M43" i="29" s="1"/>
  <c r="Q43" i="29" s="1"/>
  <c r="I44" i="29"/>
  <c r="M44" i="29" s="1"/>
  <c r="Q44" i="29" s="1"/>
  <c r="I45" i="29"/>
  <c r="M45" i="29" s="1"/>
  <c r="Q45" i="29" s="1"/>
  <c r="I46" i="29"/>
  <c r="M46" i="29" s="1"/>
  <c r="Q46" i="29" s="1"/>
  <c r="I47" i="29"/>
  <c r="M47" i="29" s="1"/>
  <c r="Q47" i="29" s="1"/>
  <c r="I48" i="29"/>
  <c r="M48" i="29" s="1"/>
  <c r="Q48" i="29" s="1"/>
  <c r="I49" i="29"/>
  <c r="M49" i="29" s="1"/>
  <c r="Q49" i="29" s="1"/>
  <c r="I50" i="29"/>
  <c r="M50" i="29" s="1"/>
  <c r="Q50" i="29" s="1"/>
  <c r="I51" i="29"/>
  <c r="M51" i="29" s="1"/>
  <c r="Q51" i="29" s="1"/>
  <c r="I52" i="29"/>
  <c r="M52" i="29" s="1"/>
  <c r="Q52" i="29" s="1"/>
  <c r="I53" i="29"/>
  <c r="M53" i="29" s="1"/>
  <c r="Q53" i="29" s="1"/>
  <c r="I54" i="29"/>
  <c r="M54" i="29" s="1"/>
  <c r="Q54" i="29" s="1"/>
  <c r="I55" i="29"/>
  <c r="M55" i="29" s="1"/>
  <c r="Q55" i="29" s="1"/>
  <c r="I7" i="29"/>
  <c r="M7" i="29" s="1"/>
  <c r="Q7" i="29" s="1"/>
  <c r="I10" i="13"/>
  <c r="I11" i="13" l="1"/>
  <c r="K11" i="13" s="1"/>
  <c r="M11" i="13" s="1"/>
  <c r="D9" i="29" s="1"/>
  <c r="H9" i="13"/>
  <c r="K51" i="13"/>
  <c r="M51" i="13" s="1"/>
  <c r="D47" i="29" s="1"/>
  <c r="K50" i="13"/>
  <c r="M50" i="13" s="1"/>
  <c r="D46" i="29" s="1"/>
  <c r="H49" i="13"/>
  <c r="H47" i="13"/>
  <c r="H28" i="13"/>
  <c r="H24" i="13"/>
  <c r="H25" i="13" s="1"/>
  <c r="K54" i="13"/>
  <c r="M54" i="13" s="1"/>
  <c r="D50" i="29" s="1"/>
  <c r="H48" i="13"/>
  <c r="K35" i="13"/>
  <c r="H27" i="13"/>
  <c r="K34" i="13"/>
  <c r="K33" i="13"/>
  <c r="K39" i="13"/>
  <c r="M39" i="13" s="1"/>
  <c r="D35" i="29" s="1"/>
  <c r="K40" i="13"/>
  <c r="K41" i="13"/>
  <c r="K42" i="13"/>
  <c r="K43" i="13"/>
  <c r="K45" i="13"/>
  <c r="M45" i="13" s="1"/>
  <c r="D41" i="29" s="1"/>
  <c r="K46" i="13"/>
  <c r="M46" i="13" s="1"/>
  <c r="D42" i="29" s="1"/>
  <c r="K47" i="13"/>
  <c r="K48" i="13"/>
  <c r="K49" i="13"/>
  <c r="K52" i="13"/>
  <c r="K53" i="13"/>
  <c r="K55" i="13"/>
  <c r="K56" i="13"/>
  <c r="K57" i="13"/>
  <c r="K58" i="13"/>
  <c r="M58" i="13" s="1"/>
  <c r="D54" i="29" s="1"/>
  <c r="K59" i="13"/>
  <c r="M59" i="13" s="1"/>
  <c r="D55" i="29" s="1"/>
  <c r="K25" i="13"/>
  <c r="K26" i="13"/>
  <c r="K27" i="13"/>
  <c r="K28" i="13"/>
  <c r="K29" i="13"/>
  <c r="K30" i="13"/>
  <c r="K31" i="13"/>
  <c r="M31" i="13" s="1"/>
  <c r="D28" i="29" s="1"/>
  <c r="K32" i="13"/>
  <c r="K36" i="13"/>
  <c r="M36" i="13" s="1"/>
  <c r="D33" i="29" s="1"/>
  <c r="K12" i="13"/>
  <c r="K13" i="13"/>
  <c r="K14" i="13"/>
  <c r="M14" i="13" s="1"/>
  <c r="D12" i="29" s="1"/>
  <c r="K15" i="13"/>
  <c r="K17" i="13"/>
  <c r="K18" i="13"/>
  <c r="M18" i="13" s="1"/>
  <c r="D16" i="29" s="1"/>
  <c r="K19" i="13"/>
  <c r="M19" i="13" s="1"/>
  <c r="D17" i="29" s="1"/>
  <c r="K20" i="13"/>
  <c r="M20" i="13" s="1"/>
  <c r="D18" i="29" s="1"/>
  <c r="K21" i="13"/>
  <c r="M21" i="13" s="1"/>
  <c r="D19" i="29" s="1"/>
  <c r="K22" i="13"/>
  <c r="M22" i="13" s="1"/>
  <c r="D20" i="29" s="1"/>
  <c r="H13" i="13"/>
  <c r="H15" i="13" s="1"/>
  <c r="H12" i="13"/>
  <c r="I16" i="13"/>
  <c r="K16" i="13" s="1"/>
  <c r="M16" i="13" s="1"/>
  <c r="D14" i="29" s="1"/>
  <c r="K10" i="13"/>
  <c r="M10" i="13" s="1"/>
  <c r="D8" i="29" s="1"/>
  <c r="H40" i="13"/>
  <c r="H41" i="13"/>
  <c r="K9" i="13"/>
  <c r="J6" i="29"/>
  <c r="N6" i="29" s="1"/>
  <c r="M5" i="29"/>
  <c r="Q5" i="29" s="1"/>
  <c r="J5" i="29"/>
  <c r="N5" i="29" s="1"/>
  <c r="M40" i="13" l="1"/>
  <c r="D36" i="29" s="1"/>
  <c r="M9" i="13"/>
  <c r="D7" i="29" s="1"/>
  <c r="M56" i="13"/>
  <c r="D52" i="29" s="1"/>
  <c r="M29" i="13"/>
  <c r="D26" i="29" s="1"/>
  <c r="M48" i="13"/>
  <c r="D44" i="29" s="1"/>
  <c r="M35" i="13"/>
  <c r="D32" i="29" s="1"/>
  <c r="M13" i="13"/>
  <c r="D11" i="29" s="1"/>
  <c r="M25" i="13"/>
  <c r="D22" i="29" s="1"/>
  <c r="M32" i="13"/>
  <c r="D29" i="29" s="1"/>
  <c r="M28" i="13"/>
  <c r="D25" i="29" s="1"/>
  <c r="M12" i="13"/>
  <c r="D10" i="29" s="1"/>
  <c r="M30" i="13"/>
  <c r="D27" i="29" s="1"/>
  <c r="M34" i="13"/>
  <c r="D31" i="29" s="1"/>
  <c r="M53" i="13"/>
  <c r="D49" i="29" s="1"/>
  <c r="M17" i="13"/>
  <c r="D15" i="29" s="1"/>
  <c r="M15" i="13"/>
  <c r="D13" i="29" s="1"/>
  <c r="M57" i="13"/>
  <c r="D53" i="29" s="1"/>
  <c r="M52" i="13"/>
  <c r="D48" i="29" s="1"/>
  <c r="M41" i="13"/>
  <c r="D37" i="29" s="1"/>
  <c r="M49" i="13"/>
  <c r="D45" i="29" s="1"/>
  <c r="M27" i="13"/>
  <c r="D24" i="29" s="1"/>
  <c r="M33" i="13"/>
  <c r="D30" i="29" s="1"/>
  <c r="M47" i="13"/>
  <c r="D43" i="29" s="1"/>
  <c r="M55" i="13" l="1"/>
  <c r="D51" i="29" s="1"/>
  <c r="M43" i="13"/>
  <c r="M42" i="13"/>
  <c r="K38" i="13"/>
  <c r="M38" i="13" s="1"/>
  <c r="D34" i="29" s="1"/>
  <c r="H26" i="13" l="1"/>
  <c r="M26" i="13" s="1"/>
  <c r="D23" i="29" s="1"/>
  <c r="K24" i="13"/>
  <c r="M24" i="13" s="1"/>
  <c r="D21" i="29" s="1"/>
  <c r="N57" i="29" l="1"/>
  <c r="J57" i="29"/>
  <c r="D57" i="29"/>
  <c r="E21" i="29" s="1"/>
  <c r="F57" i="29"/>
  <c r="I57" i="29" s="1"/>
  <c r="M37" i="13"/>
  <c r="M8" i="13"/>
  <c r="M23" i="13"/>
  <c r="M57" i="29" l="1"/>
  <c r="Q57" i="29" s="1"/>
  <c r="M4" i="29"/>
  <c r="E18" i="29"/>
  <c r="E13" i="29"/>
  <c r="E34" i="29"/>
  <c r="E17" i="29"/>
  <c r="E19" i="29"/>
  <c r="E32" i="29"/>
  <c r="E15" i="29"/>
  <c r="E28" i="29"/>
  <c r="E11" i="29"/>
  <c r="E24" i="29"/>
  <c r="E30" i="29"/>
  <c r="E7" i="29"/>
  <c r="E8" i="29"/>
  <c r="E49" i="29"/>
  <c r="E38" i="29"/>
  <c r="E47" i="29"/>
  <c r="E48" i="29"/>
  <c r="E44" i="29"/>
  <c r="E37" i="29"/>
  <c r="E51" i="29"/>
  <c r="E10" i="29"/>
  <c r="E9" i="29"/>
  <c r="E14" i="29"/>
  <c r="E20" i="29"/>
  <c r="E26" i="29"/>
  <c r="E16" i="29"/>
  <c r="E22" i="29"/>
  <c r="E12" i="29"/>
  <c r="E53" i="29"/>
  <c r="E25" i="29"/>
  <c r="E40" i="29"/>
  <c r="E43" i="29"/>
  <c r="E29" i="29"/>
  <c r="E55" i="29"/>
  <c r="E33" i="29"/>
  <c r="E31" i="29"/>
  <c r="E45" i="29"/>
  <c r="E27" i="29"/>
  <c r="E41" i="29"/>
  <c r="E23" i="29"/>
  <c r="E36" i="29"/>
  <c r="E54" i="29"/>
  <c r="E52" i="29"/>
  <c r="E50" i="29"/>
  <c r="E46" i="29"/>
  <c r="E42" i="29"/>
  <c r="E35" i="29"/>
  <c r="I26" i="28"/>
  <c r="B27" i="28" s="1"/>
  <c r="D56" i="29" l="1"/>
  <c r="N56" i="29"/>
  <c r="J56" i="29"/>
  <c r="F56" i="29"/>
  <c r="I56" i="29" s="1"/>
  <c r="E57" i="29"/>
  <c r="M61" i="13"/>
  <c r="J5" i="13" l="1"/>
  <c r="L11" i="13"/>
  <c r="M56" i="29"/>
  <c r="Q56" i="29" s="1"/>
  <c r="L26" i="13"/>
  <c r="L59" i="13"/>
  <c r="L51" i="13"/>
  <c r="L47" i="13"/>
  <c r="L33" i="13"/>
  <c r="L29" i="13"/>
  <c r="L19" i="13"/>
  <c r="L9" i="13"/>
  <c r="L48" i="13"/>
  <c r="L34" i="13"/>
  <c r="L10" i="13"/>
  <c r="L58" i="13"/>
  <c r="L50" i="13"/>
  <c r="L46" i="13"/>
  <c r="L36" i="13"/>
  <c r="L32" i="13"/>
  <c r="L28" i="13"/>
  <c r="L17" i="13"/>
  <c r="L40" i="13"/>
  <c r="L21" i="13"/>
  <c r="L57" i="13"/>
  <c r="L49" i="13"/>
  <c r="L41" i="13"/>
  <c r="L35" i="13"/>
  <c r="L31" i="13"/>
  <c r="L23" i="13"/>
  <c r="L8" i="13"/>
  <c r="L54" i="13"/>
  <c r="L30" i="13"/>
  <c r="L37" i="13"/>
  <c r="L42" i="13"/>
  <c r="L15" i="13"/>
  <c r="L16" i="13"/>
  <c r="L52" i="13"/>
  <c r="L55" i="13"/>
  <c r="L53" i="13"/>
  <c r="L39" i="13"/>
  <c r="L45" i="13"/>
  <c r="L24" i="13"/>
  <c r="L20" i="13"/>
  <c r="L13" i="13"/>
  <c r="L22" i="13"/>
  <c r="L27" i="13"/>
  <c r="L25" i="13"/>
  <c r="L18" i="13"/>
  <c r="L56" i="13"/>
  <c r="L38" i="13"/>
  <c r="L14" i="13"/>
  <c r="L43" i="13"/>
  <c r="L12" i="13"/>
</calcChain>
</file>

<file path=xl/sharedStrings.xml><?xml version="1.0" encoding="utf-8"?>
<sst xmlns="http://schemas.openxmlformats.org/spreadsheetml/2006/main" count="530" uniqueCount="241">
  <si>
    <t>ITEM</t>
  </si>
  <si>
    <t>BDI</t>
  </si>
  <si>
    <t>TOTAL GERAL</t>
  </si>
  <si>
    <t>Unidade</t>
  </si>
  <si>
    <t>Valor Unidade Sem BDI</t>
  </si>
  <si>
    <t>VALOR TOTAL</t>
  </si>
  <si>
    <t>Valor Unidade Com BDI</t>
  </si>
  <si>
    <t>Quantidade Total</t>
  </si>
  <si>
    <t>m²</t>
  </si>
  <si>
    <t>Parâmetros para cálculo do BDI</t>
  </si>
  <si>
    <t>Itens Admissíveis</t>
  </si>
  <si>
    <t>Intervalos admissíveis sem justificativa</t>
  </si>
  <si>
    <t>Índices adotados</t>
  </si>
  <si>
    <t>Administração Central (AC)</t>
  </si>
  <si>
    <t>De</t>
  </si>
  <si>
    <t>até</t>
  </si>
  <si>
    <t>Seguro e Garantia (S+G)</t>
  </si>
  <si>
    <t>Risco (R)</t>
  </si>
  <si>
    <t>Despesas financeiras (DF)</t>
  </si>
  <si>
    <t>Lucro (L)</t>
  </si>
  <si>
    <t>Tributos (T)</t>
  </si>
  <si>
    <t>INSS desoneração (E)</t>
  </si>
  <si>
    <t>ou</t>
  </si>
  <si>
    <t>Controle</t>
  </si>
  <si>
    <t>ok</t>
  </si>
  <si>
    <t>BDI CALCULADO ----&gt;</t>
  </si>
  <si>
    <t>BDI = (1+AC+S+R+G)*(1+DF)*(1+L)/(1-(T+E))</t>
  </si>
  <si>
    <t>AS MARCAS DOS PRODUTOS APRESENTADOS NA PLANILHA SÃO REFERENCIADAS EM ESPECIFICAÇÃO DE QUALIDADE DELIMITADAS PELA PMMG.</t>
  </si>
  <si>
    <t>O uso de materiais equivalentes poderá ser autorizada pelo fiscal, após a apresentação de laudo técnico do fabricante, contendo os aspectos que permitam a comprovação da qualidade.</t>
  </si>
  <si>
    <t>CONSIDERAR PARA OS ENCARGOS SOCIAIS A COMPOSIÇÃO APRESENTADA PELA TABELA SINAPI 09/2016 E SETOP 06/2016 DESONERADAS.</t>
  </si>
  <si>
    <t>Para melhor execução do serviço a empresa deverá seguir rigorosamente Projetos, Planilha e Memorial Descritivo.</t>
  </si>
  <si>
    <t>Acórdão TCU 2622/2013</t>
  </si>
  <si>
    <t>CALCULO DO BDI - CONSTRUÇÃO DE EDIFÍCIOS</t>
  </si>
  <si>
    <t>DANYEL NERES PEREIRA, Eng. Civil</t>
  </si>
  <si>
    <t>_____________________________________</t>
  </si>
  <si>
    <t>CNPJ: 16.695.025/0001-97</t>
  </si>
  <si>
    <t>CREA-MG: 192.718/D</t>
  </si>
  <si>
    <t>FONTE</t>
  </si>
  <si>
    <t>PESO
%</t>
  </si>
  <si>
    <t>As marcas dos produtos apresentados na planilha são referenciadas em especificação de qualidade delimitadas pela PMMG.</t>
  </si>
  <si>
    <t>POLÍCIA MILITAR DE MINAS GERAIS</t>
  </si>
  <si>
    <t>_______________________________________</t>
  </si>
  <si>
    <t>O uso de materiais equivalentes poderá ser autorizada pelo fiscal após a apresentação de laudo técnico do fabricante, contendo os aspectos que permitam a comprovação da qualidade.</t>
  </si>
  <si>
    <t>PLANILHA ORÇAMENTÁRIA</t>
  </si>
  <si>
    <r>
      <t xml:space="preserve">RESPONSÁVEL TÉCNICO: </t>
    </r>
    <r>
      <rPr>
        <sz val="11"/>
        <rFont val="Times New Roman"/>
        <family val="1"/>
      </rPr>
      <t>DANYEL NERES PEREIRA, Engenheiro Civil, CREA-MG: 192.718/D</t>
    </r>
  </si>
  <si>
    <t>CÓDIGO FONTE</t>
  </si>
  <si>
    <r>
      <t xml:space="preserve">DESCRIÇÃO: </t>
    </r>
    <r>
      <rPr>
        <sz val="11"/>
        <rFont val="Times New Roman"/>
        <family val="1"/>
      </rPr>
      <t>ORÇAMENTO DE MATERIAIS/SERVIÇOS</t>
    </r>
  </si>
  <si>
    <t>___________________________________</t>
  </si>
  <si>
    <t>DANYEL NERES PEREIRA</t>
  </si>
  <si>
    <t>Eng. Civil, CREA-MG: 192.718/D</t>
  </si>
  <si>
    <t>Responsável Técnico</t>
  </si>
  <si>
    <t>DESCRIÇÃO E OBSERVAÇÕES</t>
  </si>
  <si>
    <t>ELEMENTO ITEM
(Portal MG)</t>
  </si>
  <si>
    <r>
      <t xml:space="preserve">LOCAL: </t>
    </r>
    <r>
      <rPr>
        <sz val="11"/>
        <rFont val="Times New Roman"/>
        <family val="1"/>
      </rPr>
      <t>Rua Vereador Marcos Ananias Soares, nº 185, CEP: 39.801-126, Jardim Iracema, Teófilo Otoni/MG</t>
    </r>
  </si>
  <si>
    <t>ART Nº:</t>
  </si>
  <si>
    <r>
      <t xml:space="preserve">VALIDADE DO ORÇAMENTO: </t>
    </r>
    <r>
      <rPr>
        <sz val="11"/>
        <rFont val="Times New Roman"/>
        <family val="1"/>
      </rPr>
      <t>90 dias</t>
    </r>
  </si>
  <si>
    <t>SETOP</t>
  </si>
  <si>
    <t xml:space="preserve">
15ª REGIÃO DE POLÍCIA MILITAR
COORDENADORIA REGIONAL DE LOGÍSTICA</t>
  </si>
  <si>
    <t>ANEXOS:</t>
  </si>
  <si>
    <t>REBOCO COM ARGAMASSA, TRAÇO 1:2:8 (CIMENTO, CAL E 
AREIA), ESP. 20MM, APLICAÇÃO MANUAL, PREPARO MECÂNICO</t>
  </si>
  <si>
    <t>ED-50761
REV-REB-015</t>
  </si>
  <si>
    <t>ED-50727
REV-CHA-005</t>
  </si>
  <si>
    <t>CHAPISCO COM ARGAMASSA, TRAÇO 1:3 (CIMENTO E AREIA), ESP. 
5MM, APLICADO EM ALVENARIA/ESTRUTURA DE CONCRETO COM 
COLHER, PREPARO MECÂNICO</t>
  </si>
  <si>
    <r>
      <t>m</t>
    </r>
    <r>
      <rPr>
        <b/>
        <vertAlign val="superscript"/>
        <sz val="11"/>
        <rFont val="Times New Roman"/>
        <family val="1"/>
      </rPr>
      <t>3</t>
    </r>
  </si>
  <si>
    <t>PINTURA ACRÍLICA EM PAREDE, DUAS (2) DEMÃOS, EXCLUSIVE 
SELADOR ACRÍLICO E MASSA ACRÍLICA/CORRIDA (PVA)</t>
  </si>
  <si>
    <t>ED-50451
PIN-ACR-005</t>
  </si>
  <si>
    <t>ED-50514
PIN-SEL-005</t>
  </si>
  <si>
    <t>PREPARAÇÃO PARA EMASSAMENTO OU PINTURA (LÁTEX/ACRÍLICA) EM PAREDE, INCLUSIVE UMA (1) DEMÃO DE SELADOR ACRÍLICO</t>
  </si>
  <si>
    <t>ED-51097
TER-ATE-015</t>
  </si>
  <si>
    <t>ED-48489
DEM-PIS-055</t>
  </si>
  <si>
    <t>ED-51144
URB-PAS-005</t>
  </si>
  <si>
    <t>SINAP</t>
  </si>
  <si>
    <t>39.22</t>
  </si>
  <si>
    <t>REVITALIZAÇÃO DO MURO</t>
  </si>
  <si>
    <t>REVITALIZAÇÃO DA CALÇADA</t>
  </si>
  <si>
    <t>REMOÇÃO DE MEIO-FIO DE PEDRA(GNAISSE, BASALTO, ETC.) 
INCLUSIVE CARGA</t>
  </si>
  <si>
    <t>ED-48473
DEM-MFC-010</t>
  </si>
  <si>
    <t>m</t>
  </si>
  <si>
    <t>ASSENTAMENTO DE GUIA (MEIO-FIO) EM TRECHO RETO, CONFECCIONADA EM CONCRETO PRÉ-FABRICADO, DIMENSÕES 100X15X13X30 CM (COMPRIMENTO X BASE INFERIOR X BASE SUPERIOR X ALTURA), PARA VIAS URBANAS (USO VIÁRIO). AF_06/2016</t>
  </si>
  <si>
    <t xml:space="preserve">ED-51110
TER-ESC-050  </t>
  </si>
  <si>
    <t>und</t>
  </si>
  <si>
    <t>ED-50106
HID-TUB-505</t>
  </si>
  <si>
    <t>ED-51131
TRA-CAR-005</t>
  </si>
  <si>
    <t>ED-51125
TRA-CAÇ-015</t>
  </si>
  <si>
    <t>ED-51119
TER-ESC-095</t>
  </si>
  <si>
    <t>DESCRIÇÃO</t>
  </si>
  <si>
    <t xml:space="preserve">Valor </t>
  </si>
  <si>
    <t>Peso</t>
  </si>
  <si>
    <t>Mês</t>
  </si>
  <si>
    <t>R$</t>
  </si>
  <si>
    <t>%</t>
  </si>
  <si>
    <t>Simples</t>
  </si>
  <si>
    <t>Acumulado</t>
  </si>
  <si>
    <t>SERVIÇOS PRELIMINARES, DEMOLIÇÕES, REMOÇÕES, MOVIMENTAÇÕES E LOCAÇÕES</t>
  </si>
  <si>
    <t>Total (%):</t>
  </si>
  <si>
    <t>Total (R$):</t>
  </si>
  <si>
    <r>
      <t xml:space="preserve">PRAZO DA OBRA: </t>
    </r>
    <r>
      <rPr>
        <sz val="11"/>
        <rFont val="Times New Roman"/>
        <family val="1"/>
      </rPr>
      <t>90 dias</t>
    </r>
  </si>
  <si>
    <t>1.1</t>
  </si>
  <si>
    <t>ED-16660</t>
  </si>
  <si>
    <t>1.8</t>
  </si>
  <si>
    <t>PASSEIOS DE CONCRETO E = 8 CM, FCK = 15 MPA PADRÃO 
PREFEITURA
Obs.: fundos</t>
  </si>
  <si>
    <t>ED-50105
HID-TUB-500</t>
  </si>
  <si>
    <t>ED-50467
PIN-BOR-015</t>
  </si>
  <si>
    <t>ED-9071</t>
  </si>
  <si>
    <t>ED-50543
PIS-CER-015</t>
  </si>
  <si>
    <t>ED-50774
ROD-GRA-015</t>
  </si>
  <si>
    <t>ED-51002
SOL-GRA-005</t>
  </si>
  <si>
    <t>ED-50395
MUR-BLO-005</t>
  </si>
  <si>
    <t>ED-50676
PLU-RUF-010</t>
  </si>
  <si>
    <t>ED-48502
DEM-REV-010</t>
  </si>
  <si>
    <t>ED-50943
SER-COR-030</t>
  </si>
  <si>
    <t>ED-50846
SEE-EST-025</t>
  </si>
  <si>
    <t>ESCAVAÇÃO MANUAL DE TERRA (DESATERRO MANUAL)
Obs.: referente ao desaterro e reaterro da calçada e rampa e outras escavações</t>
  </si>
  <si>
    <t>ESCAVAÇÃO MECÂNICA EM SOLO MOLE COM DESCARGA DIRETA 
SOBRE CAMINHÃO
Obs.: referente aos fundos do prédio principal e outras escavações</t>
  </si>
  <si>
    <t>ED-50852
SEE-EST-055</t>
  </si>
  <si>
    <t>CARGA DE MATERIAL DE QUALQUER NATUREZA SOBRE CAMINHÃO - MANUAL
Obs.: referente às escavações manuais e outros entulhos</t>
  </si>
  <si>
    <t>TRANSPORTE DE MATERIAL DEMOLIDO EM CAÇAMBA
Obs: referente às escavações e entulhos gerados na obra</t>
  </si>
  <si>
    <t>SETOP
e
MERCADO</t>
  </si>
  <si>
    <t>ED-50699 (PRE-ARV-015)
MERCADO</t>
  </si>
  <si>
    <t xml:space="preserve">ED-51107
TER-ESC-035 </t>
  </si>
  <si>
    <t>FORNECIMENTO E ASSENTAMENTO DE TUBO PVC RÍGIDO, 
COLETOR DE ESGOTO LISO (JEI), DN 100 MM (4"), INCLUSIVE 
CONEXÕES
Obs.: ligação das caixas de drenagem e escoamento da calçada para rua</t>
  </si>
  <si>
    <t>ED-48231
ALV-TIJ-025</t>
  </si>
  <si>
    <t>ED-50850
SEE-EST-045</t>
  </si>
  <si>
    <t>ED-50842
SEE-EST-005</t>
  </si>
  <si>
    <t>RODAPÉ COM REVESTIMENTO EM GRANITO, CINZA ANDORINHA, 
ESP. 2CM, ALTURA 10CM, ASSENTAMENTO COM ARGAMASSA 
INDUSTRIALIZADA, INCLUSIVE REJUNTAMENTO
Obs.: em torno da recepção (interna e externamente) e dentro da recepção</t>
  </si>
  <si>
    <t>ED-50569
PIS-CON-020</t>
  </si>
  <si>
    <t>ED-50566
PIS-CON-005</t>
  </si>
  <si>
    <t>ED-48212
ALV-EST-005</t>
  </si>
  <si>
    <t>Instalação de Placa de Obra em chapa galvanizada (2,00 x 1,50 m)
FORNECIMENTO E COLOCAÇÃO DE PLACA DE OBRA EM CHAPA 
GALVANIZADA #26, ESP. 0,45 MM, PLOTADA COM ADESIVO 
VINÍLICO, AFIXADA COM REBITES 4,8X40 MM, EM ESTRUTURA 
METÁLICA DE METALON 20X20 MM, ESP. 1,25 MM, INCLUSIVE 
SUPORTE EM EUCALIPTO AUTOCLAVADO PINTADO COM TINTA PVA 
DUAS (2) DEMÃO</t>
  </si>
  <si>
    <t>ED-50392
MOB-DES-020</t>
  </si>
  <si>
    <t>MERCADO
SINAPI
SETOP</t>
  </si>
  <si>
    <t>MERCADO, SINAP 93207, SETOP (IIO-LIG-010), SETOP (IIO-LIG-005)</t>
  </si>
  <si>
    <t>Administração Local + Barracão para depósito em tábuas de madeira e cercamento com fita identificativa no local da obra + instalação de medidores de água e luz para serem contabilizados os gastos da Empresa durante execução da obra.
Obs.: Administração para manutenção de 90 dias de obras.</t>
  </si>
  <si>
    <t>1.2</t>
  </si>
  <si>
    <t>1.3</t>
  </si>
  <si>
    <t>1.4</t>
  </si>
  <si>
    <t>1.5</t>
  </si>
  <si>
    <t>1.6</t>
  </si>
  <si>
    <t>1.7</t>
  </si>
  <si>
    <t>1.9</t>
  </si>
  <si>
    <t>1.10</t>
  </si>
  <si>
    <t>1.11</t>
  </si>
  <si>
    <t>1.12</t>
  </si>
  <si>
    <t>1.13</t>
  </si>
  <si>
    <t>1.14</t>
  </si>
  <si>
    <t>2.1</t>
  </si>
  <si>
    <t>2.2</t>
  </si>
  <si>
    <t>2.3</t>
  </si>
  <si>
    <t>2.4</t>
  </si>
  <si>
    <t>2.5</t>
  </si>
  <si>
    <t>2.6</t>
  </si>
  <si>
    <t>2.7</t>
  </si>
  <si>
    <t>2.8</t>
  </si>
  <si>
    <t>2.9</t>
  </si>
  <si>
    <t>2.10</t>
  </si>
  <si>
    <t>2.11</t>
  </si>
  <si>
    <t>2.12</t>
  </si>
  <si>
    <t>2.13</t>
  </si>
  <si>
    <t>3.1</t>
  </si>
  <si>
    <t>3.2</t>
  </si>
  <si>
    <t>3.3</t>
  </si>
  <si>
    <t>3.4</t>
  </si>
  <si>
    <t>3.5</t>
  </si>
  <si>
    <t>3.6</t>
  </si>
  <si>
    <t>3.7</t>
  </si>
  <si>
    <t>3.8</t>
  </si>
  <si>
    <t>3.9</t>
  </si>
  <si>
    <t>3.10</t>
  </si>
  <si>
    <t>3.11</t>
  </si>
  <si>
    <t>3.12</t>
  </si>
  <si>
    <t>3.13</t>
  </si>
  <si>
    <t>3.14</t>
  </si>
  <si>
    <t>3.15</t>
  </si>
  <si>
    <t>3.16</t>
  </si>
  <si>
    <t>3.17</t>
  </si>
  <si>
    <t>3.18</t>
  </si>
  <si>
    <t>3.19</t>
  </si>
  <si>
    <t>3.20</t>
  </si>
  <si>
    <t>3.21</t>
  </si>
  <si>
    <r>
      <t xml:space="preserve">DOCUMENTO: </t>
    </r>
    <r>
      <rPr>
        <sz val="11"/>
        <rFont val="Times New Roman"/>
        <family val="1"/>
      </rPr>
      <t>01-03</t>
    </r>
  </si>
  <si>
    <r>
      <t xml:space="preserve">DATA: </t>
    </r>
    <r>
      <rPr>
        <sz val="11"/>
        <rFont val="Times New Roman"/>
        <family val="1"/>
      </rPr>
      <t>agosto/2021</t>
    </r>
  </si>
  <si>
    <t>CRONOGRAMA FÍSICO-FINANCEIRO</t>
  </si>
  <si>
    <r>
      <t>PRAZO DA OBRA:</t>
    </r>
    <r>
      <rPr>
        <sz val="11"/>
        <rFont val="Times New Roman"/>
        <family val="1"/>
      </rPr>
      <t xml:space="preserve"> 90 dias</t>
    </r>
  </si>
  <si>
    <r>
      <rPr>
        <b/>
        <sz val="11"/>
        <rFont val="Times New Roman"/>
        <family val="1"/>
      </rPr>
      <t>LOCAL:</t>
    </r>
    <r>
      <rPr>
        <sz val="11"/>
        <rFont val="Times New Roman"/>
        <family val="1"/>
      </rPr>
      <t xml:space="preserve"> Rua Vereador Marcos Ananias Soares, nº 185, CEP: 39.801-126, Jardim Iracema, Teófilo Otoni/MG</t>
    </r>
  </si>
  <si>
    <r>
      <rPr>
        <b/>
        <sz val="11"/>
        <rFont val="Times New Roman"/>
        <family val="1"/>
      </rPr>
      <t>RESPONSÁVEL TÉCNICO:</t>
    </r>
    <r>
      <rPr>
        <sz val="11"/>
        <rFont val="Times New Roman"/>
        <family val="1"/>
      </rPr>
      <t xml:space="preserve"> DANYEL NERES PEREIRA, Engenheiro Civil, CREA-MG: 192.718/D</t>
    </r>
  </si>
  <si>
    <r>
      <t xml:space="preserve">DOCUMENTO: </t>
    </r>
    <r>
      <rPr>
        <sz val="11"/>
        <rFont val="Times New Roman"/>
        <family val="1"/>
      </rPr>
      <t>02-03</t>
    </r>
  </si>
  <si>
    <t>Para melhor execução dos serviços, a empresa contratada deverá seguir rigorosamente Projetos, Planilhas e Memorial Descritivo.</t>
  </si>
  <si>
    <r>
      <t xml:space="preserve">DOCUMENTO: </t>
    </r>
    <r>
      <rPr>
        <sz val="11"/>
        <rFont val="Times New Roman"/>
        <family val="1"/>
      </rPr>
      <t>03-03</t>
    </r>
  </si>
  <si>
    <t xml:space="preserve">
15ª REGIÃO DE POLÍCIA MILITAR
COORDENADORIA REGIONAL DE LOGÍSTICA</t>
  </si>
  <si>
    <t>Proprietário</t>
  </si>
  <si>
    <t>Teófilo Otoni-MG, 18 de agosto de 2021.</t>
  </si>
  <si>
    <t>BDI adotado = 25,00% - (SETOP 04/2021 e SINAPI 07/2021).</t>
  </si>
  <si>
    <t>Considerar para os encargos sociais a composição apresentada pelas tabelas SETOP 04/2021 e SINAPI 07/2021 não desoneradas.</t>
  </si>
  <si>
    <t>Referência: Tabelas não desoneradas SETOP abril/2021 e SINAPI julho/2021.</t>
  </si>
  <si>
    <t xml:space="preserve">                   Teófilo Otoni-MG, 18 de agosto/2021.</t>
  </si>
  <si>
    <t>Teófilo Otoni-MG, 18 de agosto/2021.</t>
  </si>
  <si>
    <r>
      <t xml:space="preserve">VERSÃO: </t>
    </r>
    <r>
      <rPr>
        <sz val="11"/>
        <rFont val="Times New Roman"/>
        <family val="1"/>
      </rPr>
      <t>CEET_02_AGOSTO2021</t>
    </r>
  </si>
  <si>
    <r>
      <t xml:space="preserve">ART Nº: </t>
    </r>
    <r>
      <rPr>
        <sz val="11"/>
        <rFont val="Times New Roman"/>
        <family val="1"/>
      </rPr>
      <t>MG20210511156</t>
    </r>
  </si>
  <si>
    <r>
      <t xml:space="preserve">OBRA/SERVIÇO: </t>
    </r>
    <r>
      <rPr>
        <sz val="11"/>
        <rFont val="Times New Roman"/>
        <family val="1"/>
      </rPr>
      <t>REVITALIZAÇÃO DE MURO E CALÇADA NO CTPM DE TEÓFILO OTONI/MG</t>
    </r>
  </si>
  <si>
    <t>LOCAL: Rua Vereador Marcos Ananias Soares, nº 185, CEP: 39.801-126, Jardim Iracema, Teófilo Otoni/MG</t>
  </si>
  <si>
    <r>
      <t>Empreendimento</t>
    </r>
    <r>
      <rPr>
        <b/>
        <sz val="10"/>
        <rFont val="Arial"/>
        <family val="2"/>
      </rPr>
      <t>- ART Nº</t>
    </r>
    <r>
      <rPr>
        <i/>
        <sz val="10"/>
        <rFont val="Arial"/>
        <family val="2"/>
      </rPr>
      <t xml:space="preserve"> MG20210511156</t>
    </r>
  </si>
  <si>
    <t>OBRA/SERVIÇO: REVITALIZAÇÃO DE MURO E CALÇADA NO CTPM DE TEÓFILO OTONI/MG</t>
  </si>
  <si>
    <t>ED-49888
HID-CXS-066</t>
  </si>
  <si>
    <t>FORNECIMENTO E ASSENTAMENTO DE TUBO PVC RÍGIDO, COLETOR DE ESGOTO LISO (JEI), DN 150 MM (6"), INCLUSIVE CONEXÕES
Obs.: ligação das caixas de drenagem</t>
  </si>
  <si>
    <t>ED-49883 
HID-CXS-060</t>
  </si>
  <si>
    <t>MERCADO</t>
  </si>
  <si>
    <t>MOB-002 - MOBILIZAÇÃO E DESMOBILIZAÇÃO DE OBRA - para 
obras executadas em centros urbanos ou próximos de centros 
urbanos.
OBRAS ATÉ O VALOR DE 1.000.000,00
Obs.: São as despesas decorridas pela mobilização do canteiro de obras, inclusive transporte de materiais e mobílias</t>
  </si>
  <si>
    <t>MURO DIVISÓRIO EM BLOCO DE CONCRETO COM ACABAMENTO 
APARENTE, ESP.15CM, ALTURA DE 180CM, COM SAPATA EM 
CONCRETO ARMADO , DIMENSÃO (50X55)CM, FORMA EM 
CONTRA BARRANCO, INCLUSIVE ESCAVAÇÃO COM TRANSPORTE E 
RETIRADA DO MATERIAL ESCAVADO (EM CAÇAMBA) E 
PINGADEIRA EM CONCRETO
Obs.: muro da rampa 3</t>
  </si>
  <si>
    <t>PISO EM LADRILHO HIDRÁULICO APLICADO EM AMBIENTES EXTERNOS. AF_05/2020 
Obs.: externo, inclusive espelho degraus</t>
  </si>
  <si>
    <t>PASSEIOS DE CONCRETO E = 8 CM, FCK = 15 MPA PADRÃO 
PREFEITURA
Obs.: rampas 02 e 03, entrada externa para sala recepção e recomposição pátio</t>
  </si>
  <si>
    <t>GRELHA FERRO FUNDIDO 30X100CM, COM CAIXILHO DE MODO A PERMITIR REMOÇÃO PERIÓDICA PARA LIMPEZA, FORNECIMENTO E INSTALAÇÃO SOBRE SOLO COM ARGAMASSA
Obs.: grelha rampa 02</t>
  </si>
  <si>
    <t>ESCAVAÇÃO MANUAL DE VALAS H &lt;= 1,50 M 
Obs.: referente às escavações para grelha retangular na rampa 02 para acesso à quadra</t>
  </si>
  <si>
    <t>CORTE DE ÁRVORE NATIVA COM MOTO-SERRA Ø &gt;= 0,30M - ATÉ 
1.000 UNIDADES
Obs.: Árvores e raízes na rampa 02 para acesso à quadra e nos fundos do CTPM (inclui retirada dos tocos e raízes)</t>
  </si>
  <si>
    <t>CAIXA DE ESGOTO DE INSPEÇÃO/PASSAGEM EM ALVENARIA 
(60X60X60CM), REVESTIMENTO EM ARGAMASSA COM ADITIVO 
IMPERMEABILIZANTE, COM TAMPA DE CONCRETO, INCLUSIVE 
ESCAVAÇÃO, REATERRO E TRANSPORTE E RETIRADA DO MATERIAL 
ESCAVADO (EM CAÇAMBA)
Obs.: caixas na rampa 02 para acesso à quadra</t>
  </si>
  <si>
    <t>CAIXA DE ESGOTO DE INSPEÇÃO/PASSAGEM EM ALVENARIA 
(60X60X85CM), REVESTIMENTO EM ARGAMASSA COM ADITIVO 
IMPERMEABILIZANTE, COM TAMPA DE CONCRETO, INCLUSIVE 
ESCAVAÇÃO, REATERRO E TRANSPORTE E RETIRADA DO MATERIAL 
ESCAVADO (EM CAÇAMBA)
Obs.: duas caixas na rampa 02 para acesso à quadra
Obs.: uma caixa será 80x80x48 e estará perto da rampa 03</t>
  </si>
  <si>
    <t>ATERRO COMPACTADO MANUAL, COM SOQUETE
obs: referente às partes necessárias para execução das rampas e calçadas</t>
  </si>
  <si>
    <t>DEMOLIÇÃO DE ALVENARIA DE TIJOLO MACIÇO, DE FORMA MANUAL, SEM REAPROVEITAMENTO. AF_12/2017
obs.: próximo à rampa 02</t>
  </si>
  <si>
    <t>REVESTIMENTO CERÂMICO PARA PAREDES EXTERNAS EM PASTILHAS DE PORCELANA 5 X 5 CM (PLACAS DE 30 X 30 CM), ALINHADAS A PRUMO, APLICADO EM PANOS COM VÃOS. AF_06/2014
Obs.: fachada principal do colégio</t>
  </si>
  <si>
    <t>RUFO E CONTRA-RUFO DE CHAPA GALVANIZADA Nº. 24, 
DESENVOLVIMENTO = 20 CM
Obs.: "chapéu de muro" a ser colocado em todo o muro externo e nas alvenarias para guarda corpo da rampa 03 e escada E2</t>
  </si>
  <si>
    <t>ALVENARIA DE VEDAÇÃO COM TIJOLO CERÂMICO FURADO, ESP. 
9CM, PARA REVESTIMENTO, INCLUSIVE ARGAMASSA PARA 
ASSENTAMENTO
Obs.: complementação muros rampa 02 e escada E2 da quadra de forma a deixar a altura mínima final com 120cm</t>
  </si>
  <si>
    <t>VIGA DE 0,21 A 0,35 M DE LARGURA EM CONCRETO 20MPA, 
APARENTE, ARMAÇÃO, FORMA PLASTIFICADA, ESCORAMENTO E 
DESFORMA
Obs.: 33,56m de viga na proporção 15x25cm; complementação muros da rampa 02 e escada E2 da quadra</t>
  </si>
  <si>
    <t>PILAR EM CONCRETO APARENTE 20 MPA, INCLUSIVE ARMAÇÃO, 
FORMA PLASTIFICADA E DESFORMA
Obs.: 11 pilares com aproximadamente 1,50m de altura na proporção 15x25cm; complementação muros rampa 02 e escada E2 da quadra</t>
  </si>
  <si>
    <t>PASSEIOS DE CONCRETO E = 8 CM, FCK = 15 MPA PADRÃO PREFEITURA
Obs.: passeio externo</t>
  </si>
  <si>
    <t>REVESTIMENTO NATADO LISO, ESP. 5MM, APLICAÇÃO COM 
DESEMPENADEIRA METÁLICA, PREPARO MECÂNICO
Obs.: acabamento externo nas duas faces da calçada na quina, largura 20cm</t>
  </si>
  <si>
    <t>PINTURA COM TINTA A BASE DE BORRACHA CLORADA EM 
REVESTIMENTO CIMENTÍCIO OU CONCRETO, DUAS (2) DEMÃOS
Obs.: duas faixas na cor azul com largura de 20cm cada uma delas para pintura e acabamento da quina da calçada (as duas faces)</t>
  </si>
  <si>
    <t>DEMOLIÇÃO DE REVESTIMENTO CERÂMICO, AZULEJO OU 
LADRILHO HIDRÁULICO INCLUSIVE AFASTAMENTO
Obs.: hall recepção, seção da recepção e área em volta do platô das bandeiras</t>
  </si>
  <si>
    <t>REVESTIMENTO COM CERÂMICA APLICADO EM PISO, 
ACABAMENTO ESMALTADO, AMBIENTE EXTERNO 
(ANTIDERRAPANTE), PADRÃO EXTRA, DIMENSÃO DA PEÇA ATÉ 2025 
CM2, PEI V, ASSENTAMENTO COM ARGAMASSA INDUSTRIALIZADA, 
INCLUSIVE REJUNTAMENTO
Obs.: hall de entrada da recepção e seção da recepção</t>
  </si>
  <si>
    <t>SOLEIRA DE GRANITO CINZA ANDORINHA E = 2 CM
Obs.: entrada e saída no hall da recepção, seção da recepção</t>
  </si>
  <si>
    <t>CONTRAPISO DESEMPENADO COM ARGAMASSA, TRAÇO 1:3 
(CIMENTO E AREIA), ESP. 50MM
Obs.: parte interna seção da recepção</t>
  </si>
  <si>
    <t>CONTRAPISO DESEMPENADO COM ARGAMASSA, TRAÇO 1:3 
(CIMENTO E AREIA), ESP. 20MM
Obs.: parte interna seção da recepção</t>
  </si>
  <si>
    <t>DEMOLIÇÃO DE PASSEIO OU LAJE DE CONCRETO COM 
EQUIPAMENTO, INCLUSIVE AFASTAMENTO
Obs.: referente a algumas partes da calçada externa e do pátio</t>
  </si>
  <si>
    <t xml:space="preserve">REMOÇÃO E REASSENTAMENTO DE MEIO-FIO DE GNAISSE COM 
REAPROVEITAMENTO </t>
  </si>
  <si>
    <t>ED-51143
URB-MFG-005</t>
  </si>
  <si>
    <t>ALVENARIA DE BLOCO DE CONCRETO CHEIO COM ARMAÇÃO, 
EM CONCRETO COM FCK 15MPA , ESP. 9CM, PARA 
REVESTIMENTO, INCLUSIVE ARGAMASSA PARA ASSENTAMENTO 
(DETALHE D - CADERNO SEDS)
Obs.: reparo pátio</t>
  </si>
  <si>
    <t>PISO EM LADRILHO HIDRÁULICO APLICADO EM AMBIENTES EXTERNOS. AF_05/2020
Obs.: rampas (01, 02, 03 e 04), entrada externa para sala recepção, escadas E1, E2, E3 e E4 (inclusive espelhos) e áreas acesso à quadra.</t>
  </si>
  <si>
    <t>PINTURA COM TINTA A BASE DE BORRACHA CLORADA EM 
REVESTIMENTO CIMENTÍCIO OU CONCRETO, DUAS (2) DEMÃOS
Obs.: três faixas com cores distintas (azul, amarelo e vermelho padrão PMMG) e com 5cm de largura cada uma delas, conforme termo de referência.</t>
  </si>
  <si>
    <t>GRELHA FERRO FUNDIDO 30X100CM, COM CAIXILHO DE MODO A PERMITIR REMOÇÃO PERIÓDICA PARA LIMPEZA, FORNECIMENTO E INSTALAÇÃO SOBRE SOLO COM ARGAMASSA
Obs.: fundos e outros pontos</t>
  </si>
  <si>
    <t>ESCADA SOBRE O SOLO DEGRAUS APROXIMADAMENTE 50 X 16,5 CM
Obs.: escadas E3 e E4 (seguir deguras e espelhos do levantamento arquitetônico)</t>
  </si>
  <si>
    <t>ESCADA DE CONCRETO 20 MPA, APARENTE, ESPELHO = 16,3 CM, 
ARMAÇÃO, FORMA PLASTIFICADA, ESCORAMENTO E DESFORMA
Obs.: escada E2 acesso à quadra (seguir deguras e espelhos do levantamento arquitetônico)</t>
  </si>
  <si>
    <t>CORRIMÃO DUPLO EM TUBO DE AÇO INOX D = 1 1/2" - FIXADO EM 
ALVENARIA
Obs.: em torno das rampas 02 e 03 e nas escadas E2, E3 e E4</t>
  </si>
  <si>
    <t>3.22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</si>
</sst>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R$&quot;\ * #,##0.00_-;\-&quot;R$&quot;\ * #,##0.00_-;_-&quot;R$&quot;\ * &quot;-&quot;??_-;_-@_-"/>
    <numFmt numFmtId="164" formatCode="_(* #,##0.00_);_(* \(#,##0.00\);_(* \-??_);_(@_)"/>
    <numFmt numFmtId="165" formatCode="_(&quot;R$&quot;* #,##0.00_);_(&quot;R$&quot;* \(#,##0.00\);_(&quot;R$&quot;* \-??_);_(@_)"/>
    <numFmt numFmtId="166" formatCode="&quot;R$&quot;\ #,##0.00"/>
  </numFmts>
  <fonts count="52" x14ac:knownFonts="1">
    <font>
      <sz val="10"/>
      <name val="Arial"/>
      <family val="2"/>
    </font>
    <font>
      <sz val="11"/>
      <color theme="1"/>
      <name val="Calibri"/>
      <family val="2"/>
      <scheme val="minor"/>
    </font>
    <font>
      <sz val="10"/>
      <name val="Arial"/>
      <family val="2"/>
    </font>
    <font>
      <b/>
      <sz val="10"/>
      <name val="Arial"/>
      <family val="2"/>
    </font>
    <font>
      <b/>
      <sz val="12"/>
      <name val="Arial"/>
      <family val="2"/>
    </font>
    <font>
      <sz val="9"/>
      <name val="Arial"/>
      <family val="2"/>
    </font>
    <font>
      <sz val="10"/>
      <name val="Arial"/>
      <family val="2"/>
    </font>
    <font>
      <b/>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20"/>
      <name val="Calibri"/>
      <family val="2"/>
    </font>
    <font>
      <b/>
      <sz val="11"/>
      <color indexed="63"/>
      <name val="Calibri"/>
      <family val="2"/>
    </font>
    <font>
      <sz val="11"/>
      <color indexed="10"/>
      <name val="Calibri"/>
      <family val="2"/>
    </font>
    <font>
      <b/>
      <sz val="11"/>
      <color indexed="8"/>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8"/>
      <color indexed="56"/>
      <name val="Cambria"/>
      <family val="2"/>
    </font>
    <font>
      <b/>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theme="1"/>
      <name val="Calibri"/>
      <family val="2"/>
      <scheme val="minor"/>
    </font>
    <font>
      <b/>
      <sz val="11"/>
      <name val="Times New Roman"/>
      <family val="1"/>
    </font>
    <font>
      <sz val="11"/>
      <name val="Times New Roman"/>
      <family val="1"/>
    </font>
    <font>
      <b/>
      <sz val="11"/>
      <color rgb="FFFF0000"/>
      <name val="Times New Roman"/>
      <family val="1"/>
    </font>
    <font>
      <sz val="11"/>
      <name val="Arial"/>
      <family val="2"/>
    </font>
    <font>
      <b/>
      <sz val="11"/>
      <name val="Arial"/>
      <family val="2"/>
    </font>
    <font>
      <i/>
      <sz val="11"/>
      <name val="Arial"/>
      <family val="2"/>
    </font>
    <font>
      <b/>
      <i/>
      <sz val="11"/>
      <name val="Times New Roman"/>
      <family val="1"/>
    </font>
    <font>
      <i/>
      <sz val="11"/>
      <name val="Times New Roman"/>
      <family val="1"/>
    </font>
    <font>
      <sz val="8"/>
      <name val="Arial"/>
      <family val="2"/>
    </font>
    <font>
      <i/>
      <sz val="11"/>
      <color rgb="FF7F7F7F"/>
      <name val="Calibri"/>
      <family val="2"/>
      <scheme val="minor"/>
    </font>
    <font>
      <b/>
      <sz val="14"/>
      <name val="Times New Roman"/>
      <family val="1"/>
    </font>
    <font>
      <b/>
      <sz val="6"/>
      <name val="Times New Roman"/>
      <family val="1"/>
    </font>
    <font>
      <b/>
      <vertAlign val="superscript"/>
      <sz val="11"/>
      <name val="Times New Roman"/>
      <family val="1"/>
    </font>
    <font>
      <sz val="10"/>
      <name val="Times New Roman"/>
      <family val="1"/>
    </font>
    <font>
      <b/>
      <sz val="12"/>
      <name val="Times New Roman"/>
      <family val="1"/>
    </font>
    <font>
      <b/>
      <sz val="12"/>
      <color rgb="FFFF0000"/>
      <name val="Times New Roman"/>
      <family val="1"/>
    </font>
    <font>
      <sz val="12"/>
      <name val="Times New Roman"/>
      <family val="1"/>
    </font>
    <font>
      <b/>
      <sz val="10"/>
      <name val="Times New Roman"/>
      <family val="1"/>
    </font>
    <font>
      <b/>
      <i/>
      <sz val="11"/>
      <name val="Arial"/>
      <family val="2"/>
    </font>
    <font>
      <sz val="8"/>
      <name val="Times New Roman"/>
      <family val="1"/>
    </font>
    <font>
      <b/>
      <sz val="5.5"/>
      <name val="Times New Roman"/>
      <family val="1"/>
    </font>
    <font>
      <i/>
      <sz val="10"/>
      <name val="Arial"/>
      <family val="2"/>
    </font>
  </fonts>
  <fills count="7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22"/>
      </patternFill>
    </fill>
    <fill>
      <patternFill patternType="solid">
        <fgColor indexed="62"/>
      </patternFill>
    </fill>
    <fill>
      <patternFill patternType="solid">
        <fgColor indexed="57"/>
      </patternFill>
    </fill>
    <fill>
      <patternFill patternType="solid">
        <fgColor indexed="10"/>
      </patternFill>
    </fill>
    <fill>
      <patternFill patternType="solid">
        <fgColor indexed="9"/>
      </patternFill>
    </fill>
    <fill>
      <patternFill patternType="solid">
        <fgColor indexed="55"/>
      </patternFill>
    </fill>
    <fill>
      <patternFill patternType="solid">
        <fgColor indexed="56"/>
      </patternFill>
    </fill>
    <fill>
      <patternFill patternType="solid">
        <fgColor indexed="54"/>
      </patternFill>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
      <patternFill patternType="solid">
        <fgColor rgb="FFFFC000"/>
        <bgColor indexed="64"/>
      </patternFill>
    </fill>
    <fill>
      <patternFill patternType="solid">
        <fgColor rgb="FFFFC000"/>
        <bgColor indexed="26"/>
      </patternFill>
    </fill>
    <fill>
      <patternFill patternType="solid">
        <fgColor indexed="18"/>
        <bgColor indexed="8"/>
      </patternFill>
    </fill>
    <fill>
      <patternFill patternType="solid">
        <fgColor indexed="42"/>
        <bgColor indexed="41"/>
      </patternFill>
    </fill>
    <fill>
      <patternFill patternType="solid">
        <fgColor indexed="55"/>
        <bgColor indexed="23"/>
      </patternFill>
    </fill>
    <fill>
      <patternFill patternType="solid">
        <fgColor indexed="43"/>
        <bgColor indexed="26"/>
      </patternFill>
    </fill>
    <fill>
      <patternFill patternType="solid">
        <fgColor indexed="27"/>
        <bgColor indexed="41"/>
      </patternFill>
    </fill>
    <fill>
      <patternFill patternType="solid">
        <fgColor theme="7" tint="0.79998168889431442"/>
        <bgColor indexed="64"/>
      </patternFill>
    </fill>
    <fill>
      <patternFill patternType="solid">
        <fgColor theme="5" tint="0.59999389629810485"/>
        <bgColor indexed="26"/>
      </patternFill>
    </fill>
    <fill>
      <patternFill patternType="solid">
        <fgColor theme="5" tint="0.59999389629810485"/>
        <bgColor indexed="54"/>
      </patternFill>
    </fill>
    <fill>
      <patternFill patternType="solid">
        <fgColor theme="0" tint="-0.14999847407452621"/>
        <bgColor rgb="FFFFCC99"/>
      </patternFill>
    </fill>
    <fill>
      <patternFill patternType="solid">
        <fgColor theme="0" tint="-0.14999847407452621"/>
        <bgColor rgb="FFFFCC00"/>
      </patternFill>
    </fill>
    <fill>
      <patternFill patternType="solid">
        <fgColor theme="0" tint="-0.14999847407452621"/>
        <bgColor rgb="FFFFFFC0"/>
      </patternFill>
    </fill>
    <fill>
      <patternFill patternType="solid">
        <fgColor theme="0" tint="-0.34998626667073579"/>
        <bgColor indexed="64"/>
      </patternFill>
    </fill>
    <fill>
      <patternFill patternType="solid">
        <fgColor theme="5"/>
        <bgColor indexed="54"/>
      </patternFill>
    </fill>
    <fill>
      <patternFill patternType="solid">
        <fgColor theme="5"/>
        <bgColor indexed="64"/>
      </patternFill>
    </fill>
    <fill>
      <patternFill patternType="solid">
        <fgColor theme="5"/>
        <bgColor indexed="26"/>
      </patternFill>
    </fill>
    <fill>
      <patternFill patternType="solid">
        <fgColor theme="7"/>
        <bgColor indexed="42"/>
      </patternFill>
    </fill>
    <fill>
      <patternFill patternType="solid">
        <fgColor theme="7" tint="0.59999389629810485"/>
        <bgColor indexed="42"/>
      </patternFill>
    </fill>
    <fill>
      <patternFill patternType="solid">
        <fgColor rgb="FFFFFFFF"/>
        <bgColor rgb="FFFFFFC0"/>
      </patternFill>
    </fill>
    <fill>
      <patternFill patternType="solid">
        <fgColor theme="0" tint="-0.499984740745262"/>
        <bgColor rgb="FFFFCC99"/>
      </patternFill>
    </fill>
    <fill>
      <patternFill patternType="solid">
        <fgColor indexed="22"/>
        <bgColor indexed="44"/>
      </patternFill>
    </fill>
    <fill>
      <patternFill patternType="solid">
        <fgColor theme="4"/>
        <bgColor indexed="44"/>
      </patternFill>
    </fill>
    <fill>
      <patternFill patternType="solid">
        <fgColor theme="9" tint="0.59999389629810485"/>
        <bgColor indexed="44"/>
      </patternFill>
    </fill>
    <fill>
      <patternFill patternType="solid">
        <fgColor rgb="FFCCCCFF"/>
        <bgColor indexed="44"/>
      </patternFill>
    </fill>
    <fill>
      <patternFill patternType="solid">
        <fgColor theme="7" tint="0.79998168889431442"/>
        <bgColor indexed="27"/>
      </patternFill>
    </fill>
    <fill>
      <patternFill patternType="solid">
        <fgColor theme="7" tint="0.79998168889431442"/>
        <bgColor indexed="26"/>
      </patternFill>
    </fill>
    <fill>
      <patternFill patternType="solid">
        <fgColor rgb="FFFFFF00"/>
        <bgColor indexed="44"/>
      </patternFill>
    </fill>
    <fill>
      <patternFill patternType="solid">
        <fgColor rgb="FFFFFF00"/>
        <bgColor indexed="27"/>
      </patternFill>
    </fill>
    <fill>
      <patternFill patternType="solid">
        <fgColor theme="9" tint="0.59999389629810485"/>
        <bgColor indexed="26"/>
      </patternFill>
    </fill>
    <fill>
      <patternFill patternType="solid">
        <fgColor theme="9" tint="0.59999389629810485"/>
        <bgColor indexed="27"/>
      </patternFill>
    </fill>
    <fill>
      <patternFill patternType="solid">
        <fgColor rgb="FFCCCCFF"/>
        <bgColor indexed="26"/>
      </patternFill>
    </fill>
    <fill>
      <patternFill patternType="solid">
        <fgColor rgb="FFCCCCFF"/>
        <bgColor indexed="27"/>
      </patternFill>
    </fill>
    <fill>
      <patternFill patternType="solid">
        <fgColor theme="7"/>
        <bgColor indexed="64"/>
      </patternFill>
    </fill>
    <fill>
      <patternFill patternType="solid">
        <fgColor theme="7" tint="0.79998168889431442"/>
        <bgColor indexed="42"/>
      </patternFill>
    </fill>
    <fill>
      <patternFill patternType="solid">
        <fgColor rgb="FFCC99FF"/>
        <bgColor indexed="64"/>
      </patternFill>
    </fill>
    <fill>
      <patternFill patternType="solid">
        <fgColor theme="0"/>
        <bgColor indexed="27"/>
      </patternFill>
    </fill>
    <fill>
      <patternFill patternType="solid">
        <fgColor theme="0" tint="-0.249977111117893"/>
        <bgColor indexed="64"/>
      </patternFill>
    </fill>
    <fill>
      <patternFill patternType="solid">
        <fgColor theme="0" tint="-0.14999847407452621"/>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88">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3"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6" borderId="0" applyNumberFormat="0" applyBorder="0" applyAlignment="0" applyProtection="0"/>
    <xf numFmtId="0" fontId="9" fillId="18" borderId="0" applyNumberFormat="0" applyBorder="0" applyAlignment="0" applyProtection="0"/>
    <xf numFmtId="0" fontId="9" fillId="12" borderId="0" applyNumberFormat="0" applyBorder="0" applyAlignment="0" applyProtection="0"/>
    <xf numFmtId="0" fontId="9" fillId="3"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1"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8" borderId="0" applyNumberFormat="0" applyBorder="0" applyAlignment="0" applyProtection="0"/>
    <xf numFmtId="0" fontId="13" fillId="3" borderId="0" applyNumberFormat="0" applyBorder="0" applyAlignment="0" applyProtection="0"/>
    <xf numFmtId="0" fontId="10" fillId="6" borderId="0" applyNumberFormat="0" applyBorder="0" applyAlignment="0" applyProtection="0"/>
    <xf numFmtId="0" fontId="11" fillId="19" borderId="1" applyNumberFormat="0" applyAlignment="0" applyProtection="0"/>
    <xf numFmtId="0" fontId="23" fillId="23" borderId="1" applyNumberFormat="0" applyAlignment="0" applyProtection="0"/>
    <xf numFmtId="0" fontId="12" fillId="24" borderId="2" applyNumberFormat="0" applyAlignment="0" applyProtection="0"/>
    <xf numFmtId="0" fontId="15" fillId="0" borderId="3" applyNumberFormat="0" applyFill="0" applyAlignment="0" applyProtection="0"/>
    <xf numFmtId="0" fontId="9" fillId="25" borderId="0" applyNumberFormat="0" applyBorder="0" applyAlignment="0" applyProtection="0"/>
    <xf numFmtId="0" fontId="9" fillId="18" borderId="0" applyNumberFormat="0" applyBorder="0" applyAlignment="0" applyProtection="0"/>
    <xf numFmtId="0" fontId="9" fillId="12" borderId="0" applyNumberFormat="0" applyBorder="0" applyAlignment="0" applyProtection="0"/>
    <xf numFmtId="0" fontId="9" fillId="26" borderId="0" applyNumberFormat="0" applyBorder="0" applyAlignment="0" applyProtection="0"/>
    <xf numFmtId="0" fontId="9" fillId="16" borderId="0" applyNumberFormat="0" applyBorder="0" applyAlignment="0" applyProtection="0"/>
    <xf numFmtId="0" fontId="9" fillId="22" borderId="0" applyNumberFormat="0" applyBorder="0" applyAlignment="0" applyProtection="0"/>
    <xf numFmtId="0" fontId="21" fillId="13" borderId="1" applyNumberFormat="0" applyAlignment="0" applyProtection="0"/>
    <xf numFmtId="0" fontId="17" fillId="0" borderId="0" applyNumberFormat="0" applyFill="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13" fillId="5" borderId="0" applyNumberFormat="0" applyBorder="0" applyAlignment="0" applyProtection="0"/>
    <xf numFmtId="165" fontId="6" fillId="0" borderId="0" applyFill="0" applyBorder="0" applyAlignment="0" applyProtection="0"/>
    <xf numFmtId="44" fontId="29" fillId="0" borderId="0" applyFont="0" applyFill="0" applyBorder="0" applyAlignment="0" applyProtection="0"/>
    <xf numFmtId="0" fontId="24" fillId="13" borderId="0" applyNumberFormat="0" applyBorder="0" applyAlignment="0" applyProtection="0"/>
    <xf numFmtId="0" fontId="8" fillId="0" borderId="0"/>
    <xf numFmtId="0" fontId="6" fillId="0" borderId="0"/>
    <xf numFmtId="0" fontId="29" fillId="0" borderId="0"/>
    <xf numFmtId="0" fontId="2" fillId="0" borderId="0"/>
    <xf numFmtId="0" fontId="2" fillId="10" borderId="7" applyNumberFormat="0" applyFont="0" applyAlignment="0" applyProtection="0"/>
    <xf numFmtId="0" fontId="14" fillId="19" borderId="8" applyNumberFormat="0" applyAlignment="0" applyProtection="0"/>
    <xf numFmtId="9" fontId="29" fillId="0" borderId="0" applyFont="0" applyFill="0" applyBorder="0" applyAlignment="0" applyProtection="0"/>
    <xf numFmtId="0" fontId="14" fillId="23" borderId="8" applyNumberFormat="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22" fillId="0" borderId="0" applyNumberFormat="0" applyFill="0" applyBorder="0" applyAlignment="0" applyProtection="0"/>
    <xf numFmtId="0" fontId="26" fillId="0" borderId="9" applyNumberFormat="0" applyFill="0" applyAlignment="0" applyProtection="0"/>
    <xf numFmtId="0" fontId="27" fillId="0" borderId="10" applyNumberFormat="0" applyFill="0" applyAlignment="0" applyProtection="0"/>
    <xf numFmtId="0" fontId="28" fillId="0" borderId="11" applyNumberFormat="0" applyFill="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16" fillId="0" borderId="12" applyNumberFormat="0" applyFill="0" applyAlignment="0" applyProtection="0"/>
    <xf numFmtId="164" fontId="6" fillId="0" borderId="0" applyFill="0" applyBorder="0" applyAlignment="0" applyProtection="0"/>
    <xf numFmtId="164" fontId="6" fillId="0" borderId="0" applyFill="0" applyBorder="0" applyAlignment="0" applyProtection="0"/>
    <xf numFmtId="0" fontId="5" fillId="0" borderId="0"/>
    <xf numFmtId="0" fontId="1" fillId="0" borderId="0"/>
    <xf numFmtId="0" fontId="39" fillId="0" borderId="0" applyNumberFormat="0" applyFill="0" applyBorder="0" applyAlignment="0" applyProtection="0"/>
    <xf numFmtId="9" fontId="2" fillId="0" borderId="0" applyFont="0" applyFill="0" applyBorder="0" applyAlignment="0" applyProtection="0"/>
  </cellStyleXfs>
  <cellXfs count="232">
    <xf numFmtId="0" fontId="0" fillId="0" borderId="0" xfId="0"/>
    <xf numFmtId="0" fontId="0" fillId="0" borderId="0" xfId="0" applyFont="1" applyAlignment="1">
      <alignment vertical="center"/>
    </xf>
    <xf numFmtId="0" fontId="33" fillId="0" borderId="0" xfId="0" applyFont="1" applyBorder="1" applyAlignment="1">
      <alignment vertical="center"/>
    </xf>
    <xf numFmtId="0" fontId="33" fillId="0" borderId="0" xfId="0" applyFont="1" applyBorder="1" applyAlignment="1">
      <alignment horizontal="center" vertical="center"/>
    </xf>
    <xf numFmtId="0" fontId="33" fillId="0" borderId="20" xfId="0" applyFont="1" applyBorder="1" applyAlignment="1">
      <alignment horizontal="center" vertical="center"/>
    </xf>
    <xf numFmtId="0" fontId="33" fillId="0" borderId="20" xfId="0" applyFont="1" applyBorder="1" applyAlignment="1">
      <alignment vertical="center"/>
    </xf>
    <xf numFmtId="49" fontId="34" fillId="0" borderId="0" xfId="0" applyNumberFormat="1" applyFont="1" applyBorder="1" applyAlignment="1" applyProtection="1">
      <alignment vertical="center"/>
      <protection locked="0"/>
    </xf>
    <xf numFmtId="49" fontId="34" fillId="0" borderId="20" xfId="0" applyNumberFormat="1" applyFont="1" applyBorder="1" applyAlignment="1" applyProtection="1">
      <alignment vertical="center"/>
      <protection locked="0"/>
    </xf>
    <xf numFmtId="2" fontId="35" fillId="0" borderId="0" xfId="84" applyNumberFormat="1" applyFont="1" applyBorder="1" applyAlignment="1" applyProtection="1">
      <alignment vertical="center"/>
    </xf>
    <xf numFmtId="2" fontId="35" fillId="0" borderId="20" xfId="84" applyNumberFormat="1" applyFont="1" applyBorder="1" applyAlignment="1" applyProtection="1">
      <alignment vertical="center"/>
    </xf>
    <xf numFmtId="0" fontId="31" fillId="27" borderId="0" xfId="0" applyFont="1" applyFill="1" applyBorder="1" applyAlignment="1">
      <alignment vertical="center" wrapText="1"/>
    </xf>
    <xf numFmtId="0" fontId="31" fillId="27" borderId="0" xfId="0" applyFont="1" applyFill="1" applyBorder="1" applyAlignment="1">
      <alignment horizontal="center" vertical="center" wrapText="1"/>
    </xf>
    <xf numFmtId="0" fontId="30" fillId="27" borderId="0" xfId="0" applyFont="1" applyFill="1" applyBorder="1" applyAlignment="1">
      <alignment horizontal="left" vertical="center" wrapText="1"/>
    </xf>
    <xf numFmtId="2" fontId="30" fillId="27" borderId="0" xfId="0" applyNumberFormat="1" applyFont="1" applyFill="1" applyBorder="1" applyAlignment="1">
      <alignment horizontal="center" vertical="center" wrapText="1"/>
    </xf>
    <xf numFmtId="0" fontId="36" fillId="27" borderId="0" xfId="0" applyFont="1" applyFill="1" applyBorder="1" applyAlignment="1">
      <alignment horizontal="center" vertical="center" wrapText="1"/>
    </xf>
    <xf numFmtId="0" fontId="31" fillId="27" borderId="0" xfId="0" applyFont="1" applyFill="1" applyBorder="1" applyAlignment="1">
      <alignment horizontal="left" vertical="center" wrapText="1"/>
    </xf>
    <xf numFmtId="0" fontId="31" fillId="28" borderId="0" xfId="0" applyFont="1" applyFill="1" applyBorder="1" applyAlignment="1">
      <alignment horizontal="center" vertical="center" wrapText="1"/>
    </xf>
    <xf numFmtId="2" fontId="31" fillId="27" borderId="0" xfId="0" applyNumberFormat="1" applyFont="1" applyFill="1" applyBorder="1" applyAlignment="1">
      <alignment horizontal="center" vertical="center" wrapText="1"/>
    </xf>
    <xf numFmtId="1" fontId="31" fillId="28" borderId="0" xfId="0" applyNumberFormat="1" applyFont="1" applyFill="1" applyBorder="1" applyAlignment="1">
      <alignment horizontal="center" vertical="center" wrapText="1"/>
    </xf>
    <xf numFmtId="0" fontId="30" fillId="33" borderId="0" xfId="0" applyFont="1" applyFill="1" applyBorder="1" applyAlignment="1">
      <alignment vertical="center" wrapText="1"/>
    </xf>
    <xf numFmtId="0" fontId="0" fillId="35" borderId="13" xfId="0" applyFont="1" applyFill="1" applyBorder="1" applyAlignment="1">
      <alignment vertical="center"/>
    </xf>
    <xf numFmtId="10" fontId="5" fillId="35" borderId="13" xfId="0" applyNumberFormat="1" applyFont="1" applyFill="1" applyBorder="1" applyAlignment="1" applyProtection="1">
      <alignment vertical="center"/>
    </xf>
    <xf numFmtId="0" fontId="5" fillId="35" borderId="13" xfId="0" applyFont="1" applyFill="1" applyBorder="1" applyAlignment="1" applyProtection="1">
      <alignment horizontal="center" vertical="center"/>
    </xf>
    <xf numFmtId="0" fontId="0" fillId="36" borderId="24" xfId="0" applyFont="1" applyFill="1" applyBorder="1" applyAlignment="1">
      <alignment vertical="center"/>
    </xf>
    <xf numFmtId="0" fontId="0" fillId="35" borderId="24" xfId="0" applyFont="1" applyFill="1" applyBorder="1" applyAlignment="1">
      <alignment vertical="center"/>
    </xf>
    <xf numFmtId="0" fontId="0" fillId="0" borderId="24" xfId="0" applyFont="1" applyBorder="1" applyAlignment="1">
      <alignment vertical="center"/>
    </xf>
    <xf numFmtId="0" fontId="3" fillId="0" borderId="24" xfId="0" applyFont="1" applyBorder="1" applyAlignment="1">
      <alignment vertical="center"/>
    </xf>
    <xf numFmtId="0" fontId="0" fillId="0" borderId="27" xfId="0" applyFont="1" applyBorder="1" applyAlignment="1">
      <alignment vertical="center"/>
    </xf>
    <xf numFmtId="166" fontId="31" fillId="28" borderId="0" xfId="0" applyNumberFormat="1" applyFont="1" applyFill="1" applyBorder="1" applyAlignment="1">
      <alignment horizontal="center" vertical="center" wrapText="1"/>
    </xf>
    <xf numFmtId="166" fontId="30" fillId="27" borderId="0" xfId="0" applyNumberFormat="1" applyFont="1" applyFill="1" applyBorder="1" applyAlignment="1">
      <alignment horizontal="center" vertical="center" wrapText="1"/>
    </xf>
    <xf numFmtId="166" fontId="31" fillId="27" borderId="0" xfId="0" applyNumberFormat="1" applyFont="1" applyFill="1" applyBorder="1" applyAlignment="1">
      <alignment horizontal="center" vertical="center" wrapText="1"/>
    </xf>
    <xf numFmtId="1" fontId="31" fillId="29" borderId="0" xfId="66" applyNumberFormat="1" applyFont="1" applyFill="1" applyBorder="1" applyAlignment="1" applyProtection="1">
      <alignment horizontal="center" vertical="center" wrapText="1"/>
    </xf>
    <xf numFmtId="0" fontId="30" fillId="50" borderId="13" xfId="0" applyFont="1" applyFill="1" applyBorder="1" applyAlignment="1">
      <alignment horizontal="center" vertical="center" wrapText="1"/>
    </xf>
    <xf numFmtId="166" fontId="30" fillId="50" borderId="13" xfId="62" applyNumberFormat="1" applyFont="1" applyFill="1" applyBorder="1" applyAlignment="1">
      <alignment horizontal="center" vertical="center" wrapText="1"/>
    </xf>
    <xf numFmtId="2" fontId="32" fillId="50" borderId="13" xfId="62" applyNumberFormat="1" applyFont="1" applyFill="1" applyBorder="1" applyAlignment="1">
      <alignment horizontal="center" vertical="center" wrapText="1"/>
    </xf>
    <xf numFmtId="2" fontId="32" fillId="40" borderId="13" xfId="0" applyNumberFormat="1" applyFont="1" applyFill="1" applyBorder="1" applyAlignment="1">
      <alignment horizontal="center" vertical="center" wrapText="1"/>
    </xf>
    <xf numFmtId="164" fontId="30" fillId="27" borderId="29" xfId="82" applyFont="1" applyFill="1" applyBorder="1" applyAlignment="1" applyProtection="1">
      <alignment horizontal="center" vertical="center" wrapText="1"/>
    </xf>
    <xf numFmtId="166" fontId="30" fillId="27" borderId="29" xfId="82" applyNumberFormat="1" applyFont="1" applyFill="1" applyBorder="1" applyAlignment="1" applyProtection="1">
      <alignment horizontal="center" vertical="center" wrapText="1"/>
    </xf>
    <xf numFmtId="1" fontId="30" fillId="27" borderId="29" xfId="82" applyNumberFormat="1" applyFont="1" applyFill="1" applyBorder="1" applyAlignment="1" applyProtection="1">
      <alignment horizontal="center" vertical="center" wrapText="1"/>
    </xf>
    <xf numFmtId="0" fontId="43" fillId="0" borderId="0" xfId="66" applyFont="1" applyAlignment="1">
      <alignment vertical="center"/>
    </xf>
    <xf numFmtId="0" fontId="49" fillId="0" borderId="0" xfId="66" applyFont="1" applyAlignment="1">
      <alignment vertical="center"/>
    </xf>
    <xf numFmtId="0" fontId="30" fillId="49" borderId="13" xfId="0" applyFont="1" applyFill="1" applyBorder="1" applyAlignment="1">
      <alignment horizontal="center" vertical="center" wrapText="1"/>
    </xf>
    <xf numFmtId="166" fontId="30" fillId="65" borderId="13" xfId="62" applyNumberFormat="1" applyFont="1" applyFill="1" applyBorder="1" applyAlignment="1">
      <alignment horizontal="center" vertical="center" wrapText="1"/>
    </xf>
    <xf numFmtId="0" fontId="30" fillId="33" borderId="0" xfId="0" applyFont="1" applyFill="1" applyAlignment="1">
      <alignment vertical="center" wrapText="1"/>
    </xf>
    <xf numFmtId="0" fontId="30" fillId="66" borderId="13" xfId="0" applyNumberFormat="1" applyFont="1" applyFill="1" applyBorder="1" applyAlignment="1">
      <alignment horizontal="center" vertical="center" wrapText="1"/>
    </xf>
    <xf numFmtId="0" fontId="30" fillId="66" borderId="13" xfId="0" applyFont="1" applyFill="1" applyBorder="1" applyAlignment="1">
      <alignment horizontal="center" vertical="center" wrapText="1"/>
    </xf>
    <xf numFmtId="2" fontId="30" fillId="66" borderId="13" xfId="0" applyNumberFormat="1" applyFont="1" applyFill="1" applyBorder="1" applyAlignment="1">
      <alignment horizontal="center" vertical="center" wrapText="1"/>
    </xf>
    <xf numFmtId="166" fontId="30" fillId="66" borderId="13" xfId="62" applyNumberFormat="1" applyFont="1" applyFill="1" applyBorder="1" applyAlignment="1">
      <alignment horizontal="center" vertical="center" wrapText="1"/>
    </xf>
    <xf numFmtId="2" fontId="32" fillId="66" borderId="13" xfId="62" applyNumberFormat="1" applyFont="1" applyFill="1" applyBorder="1" applyAlignment="1">
      <alignment horizontal="center" vertical="center" wrapText="1"/>
    </xf>
    <xf numFmtId="0" fontId="30" fillId="58" borderId="0" xfId="0" applyFont="1" applyFill="1" applyBorder="1" applyAlignment="1">
      <alignment vertical="center" wrapText="1"/>
    </xf>
    <xf numFmtId="0" fontId="43" fillId="0" borderId="0" xfId="66" applyFont="1" applyAlignment="1">
      <alignment vertical="center" wrapText="1"/>
    </xf>
    <xf numFmtId="0" fontId="43" fillId="29" borderId="0" xfId="66" applyFont="1" applyFill="1" applyBorder="1" applyAlignment="1">
      <alignment vertical="center"/>
    </xf>
    <xf numFmtId="0" fontId="43" fillId="0" borderId="0" xfId="66" applyFont="1" applyBorder="1" applyAlignment="1">
      <alignment vertical="center"/>
    </xf>
    <xf numFmtId="0" fontId="33" fillId="29" borderId="0" xfId="66" applyFont="1" applyFill="1" applyBorder="1" applyAlignment="1">
      <alignment vertical="center"/>
    </xf>
    <xf numFmtId="0" fontId="33" fillId="0" borderId="0" xfId="66" applyFont="1" applyBorder="1" applyAlignment="1">
      <alignment vertical="center"/>
    </xf>
    <xf numFmtId="0" fontId="48" fillId="29" borderId="0" xfId="66" applyFont="1" applyFill="1" applyBorder="1" applyAlignment="1">
      <alignment horizontal="center"/>
    </xf>
    <xf numFmtId="4" fontId="43" fillId="57" borderId="13" xfId="82" applyNumberFormat="1" applyFont="1" applyFill="1" applyBorder="1" applyAlignment="1" applyProtection="1">
      <alignment horizontal="center" vertical="center"/>
    </xf>
    <xf numFmtId="2" fontId="43" fillId="57" borderId="13" xfId="87" applyNumberFormat="1" applyFont="1" applyFill="1" applyBorder="1" applyAlignment="1" applyProtection="1">
      <alignment horizontal="center" vertical="center"/>
    </xf>
    <xf numFmtId="2" fontId="43" fillId="28" borderId="13" xfId="66" applyNumberFormat="1" applyFont="1" applyFill="1" applyBorder="1" applyAlignment="1">
      <alignment horizontal="center" vertical="center"/>
    </xf>
    <xf numFmtId="2" fontId="43" fillId="29" borderId="13" xfId="66" applyNumberFormat="1" applyFont="1" applyFill="1" applyBorder="1" applyAlignment="1">
      <alignment horizontal="center" vertical="center"/>
    </xf>
    <xf numFmtId="2" fontId="43" fillId="68" borderId="13" xfId="66" applyNumberFormat="1" applyFont="1" applyFill="1" applyBorder="1" applyAlignment="1">
      <alignment horizontal="center" vertical="center"/>
    </xf>
    <xf numFmtId="4" fontId="47" fillId="61" borderId="13" xfId="82" applyNumberFormat="1" applyFont="1" applyFill="1" applyBorder="1" applyAlignment="1" applyProtection="1">
      <alignment horizontal="center" vertical="center"/>
    </xf>
    <xf numFmtId="4" fontId="47" fillId="62" borderId="13" xfId="82" applyNumberFormat="1" applyFont="1" applyFill="1" applyBorder="1" applyAlignment="1" applyProtection="1">
      <alignment horizontal="center" vertical="center"/>
    </xf>
    <xf numFmtId="4" fontId="47" fillId="63" borderId="13" xfId="82" applyNumberFormat="1" applyFont="1" applyFill="1" applyBorder="1" applyAlignment="1" applyProtection="1">
      <alignment horizontal="center" vertical="center"/>
    </xf>
    <xf numFmtId="4" fontId="47" fillId="64" borderId="13" xfId="82" applyNumberFormat="1" applyFont="1" applyFill="1" applyBorder="1" applyAlignment="1" applyProtection="1">
      <alignment horizontal="center" vertical="center"/>
    </xf>
    <xf numFmtId="164" fontId="47" fillId="61" borderId="13" xfId="82" applyFont="1" applyFill="1" applyBorder="1" applyAlignment="1" applyProtection="1">
      <alignment horizontal="center" vertical="center"/>
    </xf>
    <xf numFmtId="164" fontId="47" fillId="62" borderId="13" xfId="82" applyFont="1" applyFill="1" applyBorder="1" applyAlignment="1" applyProtection="1">
      <alignment horizontal="center" vertical="center"/>
    </xf>
    <xf numFmtId="164" fontId="47" fillId="63" borderId="13" xfId="82" applyFont="1" applyFill="1" applyBorder="1" applyAlignment="1" applyProtection="1">
      <alignment horizontal="center" vertical="center"/>
    </xf>
    <xf numFmtId="164" fontId="47" fillId="64" borderId="13" xfId="82" applyFont="1" applyFill="1" applyBorder="1" applyAlignment="1" applyProtection="1">
      <alignment horizontal="center" vertical="center"/>
    </xf>
    <xf numFmtId="0" fontId="34" fillId="29" borderId="0" xfId="66" applyFont="1" applyFill="1" applyBorder="1" applyAlignment="1">
      <alignment wrapText="1"/>
    </xf>
    <xf numFmtId="0" fontId="48" fillId="29" borderId="39" xfId="66" applyFont="1" applyFill="1" applyBorder="1" applyAlignment="1">
      <alignment horizontal="center"/>
    </xf>
    <xf numFmtId="0" fontId="43" fillId="29" borderId="38" xfId="66" applyFont="1" applyFill="1" applyBorder="1" applyAlignment="1">
      <alignment vertical="center"/>
    </xf>
    <xf numFmtId="0" fontId="33" fillId="29" borderId="39" xfId="66" applyFont="1" applyFill="1" applyBorder="1" applyAlignment="1">
      <alignment vertical="center"/>
    </xf>
    <xf numFmtId="0" fontId="43" fillId="0" borderId="38" xfId="66" applyFont="1" applyBorder="1" applyAlignment="1">
      <alignment vertical="center"/>
    </xf>
    <xf numFmtId="0" fontId="30" fillId="69" borderId="13" xfId="0" applyFont="1" applyFill="1" applyBorder="1" applyAlignment="1">
      <alignment vertical="center"/>
    </xf>
    <xf numFmtId="0" fontId="36" fillId="69" borderId="13" xfId="0" applyFont="1" applyFill="1" applyBorder="1" applyAlignment="1">
      <alignment vertical="center"/>
    </xf>
    <xf numFmtId="0" fontId="30" fillId="39" borderId="13" xfId="0" applyFont="1" applyFill="1" applyBorder="1" applyAlignment="1">
      <alignment horizontal="center" vertical="center" wrapText="1"/>
    </xf>
    <xf numFmtId="4" fontId="30" fillId="39" borderId="13" xfId="82" applyNumberFormat="1" applyFont="1" applyFill="1" applyBorder="1" applyAlignment="1">
      <alignment horizontal="center" vertical="center" wrapText="1"/>
    </xf>
    <xf numFmtId="166" fontId="30" fillId="39" borderId="13" xfId="62" applyNumberFormat="1" applyFont="1" applyFill="1" applyBorder="1" applyAlignment="1">
      <alignment horizontal="center" vertical="center" wrapText="1"/>
    </xf>
    <xf numFmtId="166" fontId="30" fillId="39" borderId="13" xfId="62" applyNumberFormat="1" applyFont="1" applyFill="1" applyBorder="1" applyAlignment="1" applyProtection="1">
      <alignment horizontal="center" vertical="center" wrapText="1"/>
    </xf>
    <xf numFmtId="0" fontId="30" fillId="67" borderId="0" xfId="0" applyFont="1" applyFill="1" applyAlignment="1">
      <alignment vertical="center" wrapText="1"/>
    </xf>
    <xf numFmtId="0" fontId="30" fillId="66" borderId="24" xfId="0" applyNumberFormat="1" applyFont="1" applyFill="1" applyBorder="1" applyAlignment="1">
      <alignment horizontal="center" vertical="center" wrapText="1"/>
    </xf>
    <xf numFmtId="1" fontId="30" fillId="69" borderId="13" xfId="0" applyNumberFormat="1" applyFont="1" applyFill="1" applyBorder="1" applyAlignment="1">
      <alignment vertical="center"/>
    </xf>
    <xf numFmtId="166" fontId="30" fillId="45" borderId="13" xfId="0" applyNumberFormat="1" applyFont="1" applyFill="1" applyBorder="1" applyAlignment="1">
      <alignment vertical="center"/>
    </xf>
    <xf numFmtId="0" fontId="44" fillId="54" borderId="13" xfId="66" applyFont="1" applyFill="1" applyBorder="1" applyAlignment="1">
      <alignment horizontal="center" vertical="center"/>
    </xf>
    <xf numFmtId="0" fontId="44" fillId="55" borderId="13" xfId="66" applyFont="1" applyFill="1" applyBorder="1" applyAlignment="1">
      <alignment horizontal="right" vertical="center"/>
    </xf>
    <xf numFmtId="0" fontId="44" fillId="55" borderId="13" xfId="66" applyFont="1" applyFill="1" applyBorder="1" applyAlignment="1">
      <alignment horizontal="center" vertical="center"/>
    </xf>
    <xf numFmtId="0" fontId="44" fillId="55" borderId="13" xfId="66" applyFont="1" applyFill="1" applyBorder="1" applyAlignment="1">
      <alignment horizontal="left" vertical="center"/>
    </xf>
    <xf numFmtId="0" fontId="44" fillId="56" borderId="13" xfId="66" applyFont="1" applyFill="1" applyBorder="1" applyAlignment="1">
      <alignment horizontal="right" vertical="center"/>
    </xf>
    <xf numFmtId="0" fontId="46" fillId="56" borderId="13" xfId="66" applyFont="1" applyFill="1" applyBorder="1" applyAlignment="1">
      <alignment horizontal="center" vertical="center"/>
    </xf>
    <xf numFmtId="0" fontId="44" fillId="56" borderId="13" xfId="66" applyFont="1" applyFill="1" applyBorder="1" applyAlignment="1">
      <alignment horizontal="left" vertical="center"/>
    </xf>
    <xf numFmtId="0" fontId="46" fillId="55" borderId="13" xfId="66" applyFont="1" applyFill="1" applyBorder="1" applyAlignment="1">
      <alignment horizontal="center" vertical="center"/>
    </xf>
    <xf numFmtId="0" fontId="47" fillId="54" borderId="13" xfId="66" applyFont="1" applyFill="1" applyBorder="1" applyAlignment="1">
      <alignment horizontal="center" vertical="center"/>
    </xf>
    <xf numFmtId="0" fontId="47" fillId="54" borderId="13" xfId="66" applyFont="1" applyFill="1" applyBorder="1" applyAlignment="1">
      <alignment horizontal="center" vertical="center" wrapText="1"/>
    </xf>
    <xf numFmtId="0" fontId="47" fillId="55" borderId="13" xfId="66" applyFont="1" applyFill="1" applyBorder="1" applyAlignment="1">
      <alignment horizontal="center" vertical="center"/>
    </xf>
    <xf numFmtId="0" fontId="47" fillId="56" borderId="13" xfId="66" applyFont="1" applyFill="1" applyBorder="1" applyAlignment="1">
      <alignment horizontal="center" vertical="center"/>
    </xf>
    <xf numFmtId="10" fontId="5" fillId="35" borderId="13" xfId="0" applyNumberFormat="1" applyFont="1" applyFill="1" applyBorder="1" applyAlignment="1" applyProtection="1">
      <alignment horizontal="center" vertical="center"/>
    </xf>
    <xf numFmtId="0" fontId="30" fillId="29" borderId="16" xfId="66" applyFont="1" applyFill="1" applyBorder="1" applyAlignment="1" applyProtection="1">
      <alignment horizontal="center" wrapText="1"/>
    </xf>
    <xf numFmtId="0" fontId="30" fillId="29" borderId="0" xfId="66" applyFont="1" applyFill="1" applyBorder="1" applyAlignment="1" applyProtection="1">
      <alignment horizontal="center" wrapText="1"/>
    </xf>
    <xf numFmtId="10" fontId="0" fillId="37" borderId="25" xfId="0" applyNumberFormat="1" applyFont="1" applyFill="1" applyBorder="1" applyAlignment="1">
      <alignment vertical="center"/>
    </xf>
    <xf numFmtId="10" fontId="0" fillId="35" borderId="25" xfId="0" applyNumberFormat="1" applyFont="1" applyFill="1" applyBorder="1" applyAlignment="1">
      <alignment horizontal="center" vertical="center"/>
    </xf>
    <xf numFmtId="0" fontId="0" fillId="0" borderId="13" xfId="0" applyFont="1" applyBorder="1" applyAlignment="1">
      <alignment vertical="center"/>
    </xf>
    <xf numFmtId="0" fontId="0" fillId="0" borderId="0" xfId="0" applyFont="1" applyBorder="1" applyAlignment="1">
      <alignment vertical="center"/>
    </xf>
    <xf numFmtId="0" fontId="30" fillId="27" borderId="0" xfId="0" applyFont="1" applyFill="1" applyBorder="1" applyAlignment="1">
      <alignment horizontal="center" vertical="center" wrapText="1"/>
    </xf>
    <xf numFmtId="166" fontId="30" fillId="48" borderId="13" xfId="0" applyNumberFormat="1" applyFont="1" applyFill="1" applyBorder="1" applyAlignment="1">
      <alignment horizontal="center" vertical="center" wrapText="1"/>
    </xf>
    <xf numFmtId="164" fontId="36" fillId="27" borderId="41" xfId="82" applyFont="1" applyFill="1" applyBorder="1" applyAlignment="1" applyProtection="1">
      <alignment horizontal="center" vertical="center" wrapText="1"/>
    </xf>
    <xf numFmtId="166" fontId="30" fillId="27" borderId="42" xfId="82" applyNumberFormat="1" applyFont="1" applyFill="1" applyBorder="1" applyAlignment="1" applyProtection="1">
      <alignment horizontal="center" vertical="center" wrapText="1"/>
    </xf>
    <xf numFmtId="0" fontId="36" fillId="27" borderId="38" xfId="0" applyFont="1" applyFill="1" applyBorder="1" applyAlignment="1">
      <alignment horizontal="center" vertical="center" wrapText="1"/>
    </xf>
    <xf numFmtId="166" fontId="31" fillId="28" borderId="39" xfId="0" applyNumberFormat="1" applyFont="1" applyFill="1" applyBorder="1" applyAlignment="1">
      <alignment horizontal="center" vertical="center" wrapText="1"/>
    </xf>
    <xf numFmtId="166" fontId="31" fillId="29" borderId="39" xfId="66" applyNumberFormat="1" applyFont="1" applyFill="1" applyBorder="1" applyAlignment="1" applyProtection="1">
      <alignment horizontal="center" vertical="center" wrapText="1"/>
    </xf>
    <xf numFmtId="0" fontId="36" fillId="28" borderId="33" xfId="0" applyFont="1" applyFill="1" applyBorder="1" applyAlignment="1">
      <alignment horizontal="center" vertical="center" wrapText="1"/>
    </xf>
    <xf numFmtId="0" fontId="31" fillId="28" borderId="36" xfId="0" applyFont="1" applyFill="1" applyBorder="1" applyAlignment="1">
      <alignment horizontal="center" vertical="center" wrapText="1"/>
    </xf>
    <xf numFmtId="0" fontId="31" fillId="28" borderId="36" xfId="0" applyFont="1" applyFill="1" applyBorder="1" applyAlignment="1">
      <alignment horizontal="left" vertical="center" wrapText="1"/>
    </xf>
    <xf numFmtId="2" fontId="31" fillId="28" borderId="36" xfId="0" applyNumberFormat="1" applyFont="1" applyFill="1" applyBorder="1" applyAlignment="1">
      <alignment horizontal="center" vertical="center" wrapText="1"/>
    </xf>
    <xf numFmtId="166" fontId="31" fillId="28" borderId="36" xfId="0" applyNumberFormat="1" applyFont="1" applyFill="1" applyBorder="1" applyAlignment="1">
      <alignment horizontal="center" vertical="center" wrapText="1"/>
    </xf>
    <xf numFmtId="1" fontId="31" fillId="28" borderId="36" xfId="0" applyNumberFormat="1" applyFont="1" applyFill="1" applyBorder="1" applyAlignment="1">
      <alignment horizontal="center" vertical="center" wrapText="1"/>
    </xf>
    <xf numFmtId="166" fontId="31" fillId="28" borderId="37" xfId="0" applyNumberFormat="1" applyFont="1" applyFill="1" applyBorder="1" applyAlignment="1">
      <alignment horizontal="center" vertical="center" wrapText="1"/>
    </xf>
    <xf numFmtId="0" fontId="30" fillId="66" borderId="13" xfId="0" applyFont="1" applyFill="1" applyBorder="1" applyAlignment="1">
      <alignment horizontal="left" vertical="center" wrapText="1"/>
    </xf>
    <xf numFmtId="0" fontId="30" fillId="66" borderId="31" xfId="0" applyFont="1" applyFill="1" applyBorder="1" applyAlignment="1">
      <alignment horizontal="left" vertical="center" wrapText="1"/>
    </xf>
    <xf numFmtId="0" fontId="30" fillId="66" borderId="32" xfId="0" applyFont="1" applyFill="1" applyBorder="1" applyAlignment="1">
      <alignment horizontal="left" vertical="center" wrapText="1"/>
    </xf>
    <xf numFmtId="0" fontId="30" fillId="27" borderId="0" xfId="0" applyFont="1" applyFill="1" applyBorder="1" applyAlignment="1">
      <alignment horizontal="center" vertical="center" wrapText="1"/>
    </xf>
    <xf numFmtId="0" fontId="30" fillId="27" borderId="39" xfId="0" applyFont="1" applyFill="1" applyBorder="1" applyAlignment="1">
      <alignment horizontal="center" vertical="center" wrapText="1"/>
    </xf>
    <xf numFmtId="164" fontId="30" fillId="27" borderId="13" xfId="82" applyFont="1" applyFill="1" applyBorder="1" applyAlignment="1" applyProtection="1">
      <alignment horizontal="left" vertical="center" wrapText="1"/>
    </xf>
    <xf numFmtId="0" fontId="31" fillId="0" borderId="13" xfId="0" applyNumberFormat="1" applyFont="1" applyFill="1" applyBorder="1" applyAlignment="1">
      <alignment horizontal="center" vertical="center" wrapText="1"/>
    </xf>
    <xf numFmtId="4" fontId="30" fillId="40" borderId="13" xfId="0" applyNumberFormat="1" applyFont="1" applyFill="1" applyBorder="1" applyAlignment="1">
      <alignment horizontal="center" vertical="center" wrapText="1"/>
    </xf>
    <xf numFmtId="0" fontId="30" fillId="46" borderId="13" xfId="0" applyNumberFormat="1" applyFont="1" applyFill="1" applyBorder="1" applyAlignment="1">
      <alignment horizontal="center" vertical="center" wrapText="1"/>
    </xf>
    <xf numFmtId="1" fontId="32" fillId="41" borderId="13" xfId="0" applyNumberFormat="1" applyFont="1" applyFill="1" applyBorder="1" applyAlignment="1">
      <alignment horizontal="center" vertical="center" wrapText="1"/>
    </xf>
    <xf numFmtId="166" fontId="30" fillId="47" borderId="13" xfId="0" applyNumberFormat="1" applyFont="1" applyFill="1" applyBorder="1" applyAlignment="1">
      <alignment horizontal="center" vertical="center" wrapText="1"/>
    </xf>
    <xf numFmtId="0" fontId="30" fillId="46" borderId="13" xfId="0" applyFont="1" applyFill="1" applyBorder="1" applyAlignment="1">
      <alignment horizontal="center" vertical="center" wrapText="1"/>
    </xf>
    <xf numFmtId="4" fontId="30" fillId="41" borderId="35" xfId="0" applyNumberFormat="1" applyFont="1" applyFill="1" applyBorder="1" applyAlignment="1">
      <alignment horizontal="center" vertical="center" wrapText="1"/>
    </xf>
    <xf numFmtId="4" fontId="30" fillId="41" borderId="13" xfId="0" applyNumberFormat="1" applyFont="1" applyFill="1" applyBorder="1" applyAlignment="1">
      <alignment horizontal="center" vertical="center" wrapText="1"/>
    </xf>
    <xf numFmtId="166" fontId="30" fillId="41" borderId="35" xfId="0" applyNumberFormat="1" applyFont="1" applyFill="1" applyBorder="1" applyAlignment="1">
      <alignment horizontal="center" vertical="center" wrapText="1"/>
    </xf>
    <xf numFmtId="166" fontId="30" fillId="41" borderId="13" xfId="0" applyNumberFormat="1" applyFont="1" applyFill="1" applyBorder="1" applyAlignment="1">
      <alignment horizontal="center" vertical="center" wrapText="1"/>
    </xf>
    <xf numFmtId="0" fontId="30" fillId="41" borderId="13" xfId="0" applyFont="1" applyFill="1" applyBorder="1" applyAlignment="1">
      <alignment horizontal="center" vertical="center" wrapText="1"/>
    </xf>
    <xf numFmtId="0" fontId="30" fillId="42" borderId="13" xfId="0" applyFont="1" applyFill="1" applyBorder="1" applyAlignment="1">
      <alignment horizontal="left" vertical="center" wrapText="1"/>
    </xf>
    <xf numFmtId="0" fontId="40" fillId="52" borderId="13" xfId="0" applyFont="1" applyFill="1" applyBorder="1" applyAlignment="1">
      <alignment horizontal="center" vertical="center" wrapText="1"/>
    </xf>
    <xf numFmtId="0" fontId="30" fillId="42" borderId="34" xfId="0" applyFont="1" applyFill="1" applyBorder="1" applyAlignment="1">
      <alignment horizontal="left" vertical="center" wrapText="1"/>
    </xf>
    <xf numFmtId="0" fontId="41" fillId="27" borderId="13" xfId="0" applyFont="1" applyFill="1" applyBorder="1" applyAlignment="1">
      <alignment horizontal="center" vertical="center" wrapText="1"/>
    </xf>
    <xf numFmtId="0" fontId="41" fillId="27" borderId="32" xfId="0" applyFont="1" applyFill="1" applyBorder="1" applyAlignment="1">
      <alignment horizontal="center" vertical="center" wrapText="1"/>
    </xf>
    <xf numFmtId="0" fontId="30" fillId="43" borderId="13" xfId="0" applyFont="1" applyFill="1" applyBorder="1" applyAlignment="1">
      <alignment horizontal="left" vertical="center" wrapText="1"/>
    </xf>
    <xf numFmtId="0" fontId="30" fillId="44" borderId="13" xfId="0" applyFont="1" applyFill="1" applyBorder="1" applyAlignment="1">
      <alignment horizontal="left" vertical="center" wrapText="1"/>
    </xf>
    <xf numFmtId="0" fontId="30" fillId="44" borderId="31" xfId="0" applyFont="1" applyFill="1" applyBorder="1" applyAlignment="1">
      <alignment horizontal="left" vertical="center" wrapText="1"/>
    </xf>
    <xf numFmtId="166" fontId="30" fillId="45" borderId="30" xfId="0" applyNumberFormat="1" applyFont="1" applyFill="1" applyBorder="1" applyAlignment="1">
      <alignment horizontal="center" vertical="center" wrapText="1"/>
    </xf>
    <xf numFmtId="166" fontId="30" fillId="45" borderId="32" xfId="0" applyNumberFormat="1" applyFont="1" applyFill="1" applyBorder="1" applyAlignment="1">
      <alignment horizontal="center" vertical="center" wrapText="1"/>
    </xf>
    <xf numFmtId="2" fontId="30" fillId="41" borderId="35" xfId="0" applyNumberFormat="1" applyFont="1" applyFill="1" applyBorder="1" applyAlignment="1">
      <alignment horizontal="center" vertical="center" wrapText="1"/>
    </xf>
    <xf numFmtId="2" fontId="30" fillId="41" borderId="13" xfId="0" applyNumberFormat="1" applyFont="1" applyFill="1" applyBorder="1" applyAlignment="1">
      <alignment horizontal="center" vertical="center" wrapText="1"/>
    </xf>
    <xf numFmtId="0" fontId="37" fillId="51" borderId="0" xfId="86" applyFont="1" applyFill="1" applyBorder="1" applyAlignment="1">
      <alignment horizontal="center" vertical="center" wrapText="1"/>
    </xf>
    <xf numFmtId="0" fontId="30" fillId="51" borderId="0" xfId="86" applyFont="1" applyFill="1" applyBorder="1" applyAlignment="1">
      <alignment horizontal="center" vertical="center" wrapText="1"/>
    </xf>
    <xf numFmtId="0" fontId="31" fillId="51" borderId="0" xfId="86" applyFont="1" applyFill="1" applyBorder="1" applyAlignment="1">
      <alignment horizontal="center" vertical="center" wrapText="1"/>
    </xf>
    <xf numFmtId="0" fontId="30" fillId="29" borderId="0" xfId="66" applyFont="1" applyFill="1" applyBorder="1" applyAlignment="1">
      <alignment horizontal="center" vertical="center" wrapText="1"/>
    </xf>
    <xf numFmtId="0" fontId="30" fillId="29" borderId="0" xfId="66" applyFont="1" applyFill="1" applyBorder="1" applyAlignment="1" applyProtection="1">
      <alignment horizontal="center" vertical="center" wrapText="1"/>
    </xf>
    <xf numFmtId="0" fontId="31" fillId="29" borderId="0" xfId="66" applyFont="1" applyFill="1" applyBorder="1" applyAlignment="1" applyProtection="1">
      <alignment horizontal="center" vertical="center" wrapText="1"/>
    </xf>
    <xf numFmtId="0" fontId="30" fillId="49" borderId="13" xfId="0" applyFont="1" applyFill="1" applyBorder="1" applyAlignment="1">
      <alignment horizontal="left" vertical="center" wrapText="1"/>
    </xf>
    <xf numFmtId="0" fontId="30" fillId="39" borderId="13" xfId="0" applyFont="1" applyFill="1" applyBorder="1" applyAlignment="1">
      <alignment horizontal="left" vertical="center" wrapText="1"/>
    </xf>
    <xf numFmtId="166" fontId="30" fillId="45" borderId="31" xfId="0" applyNumberFormat="1" applyFont="1" applyFill="1" applyBorder="1" applyAlignment="1">
      <alignment horizontal="center" vertical="center" wrapText="1"/>
    </xf>
    <xf numFmtId="0" fontId="0" fillId="0" borderId="13" xfId="0" applyFont="1" applyBorder="1" applyAlignment="1">
      <alignment horizontal="center" vertical="center"/>
    </xf>
    <xf numFmtId="0" fontId="0" fillId="0" borderId="25" xfId="0" applyFont="1" applyBorder="1" applyAlignment="1">
      <alignment horizontal="center" vertical="center"/>
    </xf>
    <xf numFmtId="0" fontId="34" fillId="0" borderId="15" xfId="0" applyFont="1" applyBorder="1" applyAlignment="1">
      <alignment horizontal="right" vertical="center"/>
    </xf>
    <xf numFmtId="0" fontId="34" fillId="0" borderId="19" xfId="0" applyFont="1" applyBorder="1" applyAlignment="1">
      <alignment horizontal="right" vertical="center"/>
    </xf>
    <xf numFmtId="10" fontId="5" fillId="35" borderId="13" xfId="0" applyNumberFormat="1" applyFont="1" applyFill="1" applyBorder="1" applyAlignment="1" applyProtection="1">
      <alignment horizontal="center" vertical="center"/>
    </xf>
    <xf numFmtId="0" fontId="0" fillId="0" borderId="17" xfId="0" applyFont="1" applyBorder="1" applyAlignment="1">
      <alignment horizontal="center" vertical="center"/>
    </xf>
    <xf numFmtId="0" fontId="0" fillId="0" borderId="14" xfId="0" applyFont="1" applyBorder="1" applyAlignment="1">
      <alignment horizontal="center" vertical="center"/>
    </xf>
    <xf numFmtId="0" fontId="0" fillId="0" borderId="18" xfId="0" applyFont="1" applyBorder="1" applyAlignment="1">
      <alignment horizontal="center" vertical="center"/>
    </xf>
    <xf numFmtId="0" fontId="0" fillId="37" borderId="13" xfId="0" applyFont="1" applyFill="1" applyBorder="1" applyAlignment="1">
      <alignment horizontal="center" vertical="center"/>
    </xf>
    <xf numFmtId="0" fontId="0" fillId="38" borderId="28" xfId="0" applyFont="1" applyFill="1" applyBorder="1" applyAlignment="1">
      <alignment horizontal="center" vertical="center"/>
    </xf>
    <xf numFmtId="0" fontId="0" fillId="38" borderId="26" xfId="0" applyFont="1" applyFill="1" applyBorder="1" applyAlignment="1">
      <alignment horizontal="center" vertical="center"/>
    </xf>
    <xf numFmtId="0" fontId="30" fillId="29" borderId="16" xfId="66" applyFont="1" applyFill="1" applyBorder="1" applyAlignment="1" applyProtection="1">
      <alignment horizontal="center" wrapText="1"/>
    </xf>
    <xf numFmtId="0" fontId="30" fillId="29" borderId="0" xfId="66" applyFont="1" applyFill="1" applyBorder="1" applyAlignment="1" applyProtection="1">
      <alignment horizontal="center" wrapText="1"/>
    </xf>
    <xf numFmtId="0" fontId="30" fillId="29" borderId="16" xfId="66" applyFont="1" applyFill="1" applyBorder="1" applyAlignment="1" applyProtection="1">
      <alignment horizontal="center" vertical="top" wrapText="1"/>
    </xf>
    <xf numFmtId="0" fontId="30" fillId="29" borderId="0" xfId="66" applyFont="1" applyFill="1" applyBorder="1" applyAlignment="1" applyProtection="1">
      <alignment horizontal="center" vertical="top" wrapText="1"/>
    </xf>
    <xf numFmtId="0" fontId="36" fillId="29" borderId="16" xfId="66" applyFont="1" applyFill="1" applyBorder="1" applyAlignment="1" applyProtection="1">
      <alignment horizontal="center" vertical="top" wrapText="1"/>
    </xf>
    <xf numFmtId="0" fontId="36" fillId="29" borderId="0" xfId="66" applyFont="1" applyFill="1" applyBorder="1" applyAlignment="1" applyProtection="1">
      <alignment horizontal="center" vertical="top" wrapText="1"/>
    </xf>
    <xf numFmtId="0" fontId="36" fillId="29" borderId="0" xfId="66" applyFont="1" applyFill="1" applyBorder="1" applyAlignment="1" applyProtection="1">
      <alignment horizontal="center" vertical="center" wrapText="1"/>
    </xf>
    <xf numFmtId="0" fontId="0" fillId="36" borderId="24"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25" xfId="0" applyFont="1" applyFill="1" applyBorder="1" applyAlignment="1">
      <alignment horizontal="center" vertical="center"/>
    </xf>
    <xf numFmtId="0" fontId="4" fillId="35" borderId="24" xfId="0" applyFont="1" applyFill="1" applyBorder="1" applyAlignment="1">
      <alignment horizontal="center" vertical="center"/>
    </xf>
    <xf numFmtId="0" fontId="4" fillId="35" borderId="13" xfId="0" applyFont="1" applyFill="1" applyBorder="1" applyAlignment="1">
      <alignment horizontal="center" vertical="center"/>
    </xf>
    <xf numFmtId="0" fontId="4" fillId="35" borderId="25" xfId="0" applyFont="1" applyFill="1" applyBorder="1" applyAlignment="1">
      <alignment horizontal="center" vertical="center"/>
    </xf>
    <xf numFmtId="0" fontId="0" fillId="36" borderId="13" xfId="0" applyFont="1" applyFill="1" applyBorder="1" applyAlignment="1">
      <alignment horizontal="center" vertical="center" wrapText="1"/>
    </xf>
    <xf numFmtId="0" fontId="3" fillId="35" borderId="24" xfId="0" applyFont="1" applyFill="1" applyBorder="1" applyAlignment="1">
      <alignment horizontal="left" vertical="center"/>
    </xf>
    <xf numFmtId="0" fontId="3" fillId="35" borderId="13" xfId="0" applyFont="1" applyFill="1" applyBorder="1" applyAlignment="1">
      <alignment horizontal="left" vertical="center"/>
    </xf>
    <xf numFmtId="0" fontId="3" fillId="35" borderId="25" xfId="0" applyFont="1" applyFill="1" applyBorder="1" applyAlignment="1">
      <alignment horizontal="left" vertical="center"/>
    </xf>
    <xf numFmtId="0" fontId="51" fillId="0" borderId="24" xfId="0" applyFont="1" applyBorder="1" applyAlignment="1">
      <alignment horizontal="left" vertical="center"/>
    </xf>
    <xf numFmtId="0" fontId="51" fillId="0" borderId="13" xfId="0" applyFont="1" applyBorder="1" applyAlignment="1">
      <alignment horizontal="left" vertical="center"/>
    </xf>
    <xf numFmtId="0" fontId="51" fillId="0" borderId="25" xfId="0" applyFont="1" applyBorder="1" applyAlignment="1">
      <alignment horizontal="left" vertical="center"/>
    </xf>
    <xf numFmtId="0" fontId="3" fillId="30" borderId="24" xfId="0" applyFont="1" applyFill="1" applyBorder="1" applyAlignment="1">
      <alignment horizontal="left" vertical="center"/>
    </xf>
    <xf numFmtId="0" fontId="3" fillId="30" borderId="13" xfId="0" applyFont="1" applyFill="1" applyBorder="1" applyAlignment="1">
      <alignment horizontal="left" vertical="center"/>
    </xf>
    <xf numFmtId="0" fontId="3" fillId="30" borderId="25" xfId="0" applyFont="1" applyFill="1" applyBorder="1" applyAlignment="1">
      <alignment horizontal="left" vertical="center"/>
    </xf>
    <xf numFmtId="0" fontId="30" fillId="42" borderId="22" xfId="0" applyFont="1" applyFill="1" applyBorder="1" applyAlignment="1">
      <alignment horizontal="left" vertical="center" wrapText="1"/>
    </xf>
    <xf numFmtId="0" fontId="30" fillId="42" borderId="23" xfId="0" applyFont="1" applyFill="1" applyBorder="1" applyAlignment="1">
      <alignment horizontal="left" vertical="center" wrapText="1"/>
    </xf>
    <xf numFmtId="0" fontId="30" fillId="42" borderId="25" xfId="0" applyFont="1" applyFill="1" applyBorder="1" applyAlignment="1">
      <alignment horizontal="left" vertical="center" wrapText="1"/>
    </xf>
    <xf numFmtId="0" fontId="0" fillId="34" borderId="24"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25" xfId="0" applyFont="1" applyFill="1" applyBorder="1" applyAlignment="1">
      <alignment horizontal="center" vertical="center"/>
    </xf>
    <xf numFmtId="0" fontId="3" fillId="31" borderId="24" xfId="0" applyFont="1" applyFill="1" applyBorder="1" applyAlignment="1">
      <alignment horizontal="center" vertical="center"/>
    </xf>
    <xf numFmtId="0" fontId="3" fillId="31" borderId="13" xfId="0" applyFont="1" applyFill="1" applyBorder="1" applyAlignment="1">
      <alignment horizontal="center" vertical="center"/>
    </xf>
    <xf numFmtId="0" fontId="3" fillId="31" borderId="13" xfId="0" applyFont="1" applyFill="1" applyBorder="1" applyAlignment="1">
      <alignment horizontal="left" vertical="center"/>
    </xf>
    <xf numFmtId="0" fontId="3" fillId="31" borderId="25" xfId="0" applyFont="1" applyFill="1" applyBorder="1" applyAlignment="1">
      <alignment horizontal="left" vertical="center"/>
    </xf>
    <xf numFmtId="0" fontId="7" fillId="32" borderId="21" xfId="0" applyFont="1" applyFill="1" applyBorder="1" applyAlignment="1">
      <alignment horizontal="center" vertical="center"/>
    </xf>
    <xf numFmtId="0" fontId="7" fillId="32" borderId="22" xfId="0" applyFont="1" applyFill="1" applyBorder="1" applyAlignment="1">
      <alignment horizontal="center" vertical="center"/>
    </xf>
    <xf numFmtId="0" fontId="7" fillId="32" borderId="40" xfId="0" applyFont="1" applyFill="1" applyBorder="1" applyAlignment="1">
      <alignment horizontal="center" vertical="center"/>
    </xf>
    <xf numFmtId="0" fontId="7" fillId="32" borderId="35" xfId="0" applyFont="1" applyFill="1" applyBorder="1" applyAlignment="1">
      <alignment horizontal="center" vertical="center"/>
    </xf>
    <xf numFmtId="0" fontId="7" fillId="32" borderId="24" xfId="0" applyFont="1" applyFill="1" applyBorder="1" applyAlignment="1">
      <alignment horizontal="center" vertical="center"/>
    </xf>
    <xf numFmtId="0" fontId="7" fillId="32" borderId="13" xfId="0" applyFont="1" applyFill="1" applyBorder="1" applyAlignment="1">
      <alignment horizontal="center" vertical="center"/>
    </xf>
    <xf numFmtId="0" fontId="45" fillId="53" borderId="13" xfId="66" applyFont="1" applyFill="1" applyBorder="1" applyAlignment="1">
      <alignment horizontal="center" vertical="center"/>
    </xf>
    <xf numFmtId="0" fontId="30" fillId="70" borderId="13" xfId="0" applyFont="1" applyFill="1" applyBorder="1" applyAlignment="1">
      <alignment horizontal="left" vertical="center"/>
    </xf>
    <xf numFmtId="1" fontId="30" fillId="45" borderId="13" xfId="0" applyNumberFormat="1" applyFont="1" applyFill="1" applyBorder="1" applyAlignment="1">
      <alignment horizontal="center" vertical="center"/>
    </xf>
    <xf numFmtId="0" fontId="34" fillId="29" borderId="0" xfId="66" applyFont="1" applyFill="1" applyBorder="1" applyAlignment="1">
      <alignment horizontal="center" wrapText="1"/>
    </xf>
    <xf numFmtId="0" fontId="44" fillId="59" borderId="13" xfId="66" applyFont="1" applyFill="1" applyBorder="1" applyAlignment="1">
      <alignment horizontal="right" vertical="center"/>
    </xf>
    <xf numFmtId="2" fontId="47" fillId="60" borderId="13" xfId="87" applyNumberFormat="1" applyFont="1" applyFill="1" applyBorder="1" applyAlignment="1" applyProtection="1">
      <alignment horizontal="left" vertical="center"/>
    </xf>
    <xf numFmtId="4" fontId="47" fillId="60" borderId="13" xfId="82" applyNumberFormat="1" applyFont="1" applyFill="1" applyBorder="1" applyAlignment="1" applyProtection="1">
      <alignment horizontal="left" vertical="center"/>
    </xf>
    <xf numFmtId="0" fontId="48" fillId="29" borderId="0" xfId="66" applyFont="1" applyFill="1" applyBorder="1" applyAlignment="1">
      <alignment horizontal="center"/>
    </xf>
    <xf numFmtId="0" fontId="48" fillId="29" borderId="39" xfId="66" applyFont="1" applyFill="1" applyBorder="1" applyAlignment="1">
      <alignment horizontal="center"/>
    </xf>
    <xf numFmtId="0" fontId="43" fillId="29" borderId="38" xfId="66" applyFont="1" applyFill="1" applyBorder="1" applyAlignment="1">
      <alignment horizontal="center" vertical="center"/>
    </xf>
    <xf numFmtId="0" fontId="43" fillId="29" borderId="0" xfId="66" applyFont="1" applyFill="1" applyBorder="1" applyAlignment="1">
      <alignment horizontal="center" vertical="center"/>
    </xf>
    <xf numFmtId="0" fontId="34" fillId="29" borderId="0" xfId="66" applyFont="1" applyFill="1" applyBorder="1" applyAlignment="1">
      <alignment horizontal="center" vertical="top" wrapText="1"/>
    </xf>
    <xf numFmtId="0" fontId="34" fillId="29" borderId="0" xfId="66" applyFont="1" applyFill="1" applyBorder="1" applyAlignment="1">
      <alignment horizontal="center" vertical="center" wrapText="1"/>
    </xf>
    <xf numFmtId="0" fontId="48" fillId="29" borderId="0" xfId="66" applyFont="1" applyFill="1" applyBorder="1" applyAlignment="1">
      <alignment horizontal="center" vertical="top" wrapText="1"/>
    </xf>
    <xf numFmtId="0" fontId="48" fillId="29" borderId="0" xfId="66" applyFont="1" applyFill="1" applyBorder="1" applyAlignment="1">
      <alignment horizontal="center" vertical="center" wrapText="1"/>
    </xf>
    <xf numFmtId="0" fontId="43" fillId="0" borderId="33" xfId="66" applyFont="1" applyBorder="1" applyAlignment="1">
      <alignment horizontal="center" vertical="center"/>
    </xf>
    <xf numFmtId="0" fontId="43" fillId="0" borderId="36" xfId="66" applyFont="1" applyBorder="1" applyAlignment="1">
      <alignment horizontal="center" vertical="center"/>
    </xf>
    <xf numFmtId="0" fontId="43" fillId="0" borderId="37" xfId="66" applyFont="1" applyBorder="1" applyAlignment="1">
      <alignment horizontal="center" vertical="center"/>
    </xf>
    <xf numFmtId="0" fontId="33" fillId="29" borderId="0" xfId="66" applyFont="1" applyFill="1" applyBorder="1" applyAlignment="1">
      <alignment horizontal="center" vertical="center"/>
    </xf>
    <xf numFmtId="0" fontId="33" fillId="29" borderId="39" xfId="66" applyFont="1" applyFill="1" applyBorder="1" applyAlignment="1">
      <alignment horizontal="center" vertical="center"/>
    </xf>
    <xf numFmtId="0" fontId="40" fillId="45" borderId="13" xfId="0" applyFont="1" applyFill="1" applyBorder="1" applyAlignment="1">
      <alignment horizontal="center" vertical="center"/>
    </xf>
    <xf numFmtId="0" fontId="50" fillId="29" borderId="13" xfId="0" applyFont="1" applyFill="1" applyBorder="1" applyAlignment="1">
      <alignment horizontal="center" vertical="center" wrapText="1"/>
    </xf>
    <xf numFmtId="0" fontId="41" fillId="29" borderId="13" xfId="0" applyFont="1" applyFill="1" applyBorder="1" applyAlignment="1">
      <alignment horizontal="center" vertical="center"/>
    </xf>
    <xf numFmtId="0" fontId="44" fillId="53" borderId="13" xfId="66" applyFont="1" applyFill="1" applyBorder="1" applyAlignment="1">
      <alignment horizontal="center" vertical="center" wrapText="1"/>
    </xf>
    <xf numFmtId="0" fontId="31" fillId="70" borderId="13" xfId="0" applyFont="1" applyFill="1" applyBorder="1" applyAlignment="1">
      <alignment horizontal="left" vertical="center"/>
    </xf>
    <xf numFmtId="0" fontId="36" fillId="70" borderId="13" xfId="0" applyFont="1" applyFill="1" applyBorder="1" applyAlignment="1">
      <alignment horizontal="left" vertical="center"/>
    </xf>
    <xf numFmtId="1" fontId="30" fillId="70" borderId="13" xfId="0" applyNumberFormat="1" applyFont="1" applyFill="1" applyBorder="1" applyAlignment="1">
      <alignment horizontal="left" vertical="center"/>
    </xf>
  </cellXfs>
  <cellStyles count="88">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Ênfase1 2" xfId="7" xr:uid="{00000000-0005-0000-0000-000006000000}"/>
    <cellStyle name="20% - Ênfase2 2" xfId="8" xr:uid="{00000000-0005-0000-0000-000007000000}"/>
    <cellStyle name="20% - Ênfase3 2" xfId="9" xr:uid="{00000000-0005-0000-0000-000008000000}"/>
    <cellStyle name="20% - Ênfase4 2" xfId="10" xr:uid="{00000000-0005-0000-0000-000009000000}"/>
    <cellStyle name="20% - Ênfase5 2" xfId="11" xr:uid="{00000000-0005-0000-0000-00000A000000}"/>
    <cellStyle name="20% - Ênfase6 2" xfId="12" xr:uid="{00000000-0005-0000-0000-00000B000000}"/>
    <cellStyle name="40% - Accent1" xfId="13" xr:uid="{00000000-0005-0000-0000-00000C000000}"/>
    <cellStyle name="40% - Accent2" xfId="14" xr:uid="{00000000-0005-0000-0000-00000D000000}"/>
    <cellStyle name="40% - Accent3" xfId="15" xr:uid="{00000000-0005-0000-0000-00000E000000}"/>
    <cellStyle name="40% - Accent4" xfId="16" xr:uid="{00000000-0005-0000-0000-00000F000000}"/>
    <cellStyle name="40% - Accent5" xfId="17" xr:uid="{00000000-0005-0000-0000-000010000000}"/>
    <cellStyle name="40% - Accent6" xfId="18" xr:uid="{00000000-0005-0000-0000-000011000000}"/>
    <cellStyle name="40% - Ênfase1 2" xfId="19" xr:uid="{00000000-0005-0000-0000-000012000000}"/>
    <cellStyle name="40% - Ênfase2 2" xfId="20" xr:uid="{00000000-0005-0000-0000-000013000000}"/>
    <cellStyle name="40% - Ênfase3 2" xfId="21" xr:uid="{00000000-0005-0000-0000-000014000000}"/>
    <cellStyle name="40% - Ênfase4 2" xfId="22" xr:uid="{00000000-0005-0000-0000-000015000000}"/>
    <cellStyle name="40% - Ênfase5 2" xfId="23" xr:uid="{00000000-0005-0000-0000-000016000000}"/>
    <cellStyle name="40% - Ênfase6 2" xfId="24" xr:uid="{00000000-0005-0000-0000-000017000000}"/>
    <cellStyle name="60% - Accent1" xfId="25" xr:uid="{00000000-0005-0000-0000-000018000000}"/>
    <cellStyle name="60% - Accent2" xfId="26" xr:uid="{00000000-0005-0000-0000-000019000000}"/>
    <cellStyle name="60% - Accent3" xfId="27" xr:uid="{00000000-0005-0000-0000-00001A000000}"/>
    <cellStyle name="60% - Accent4" xfId="28" xr:uid="{00000000-0005-0000-0000-00001B000000}"/>
    <cellStyle name="60% - Accent5" xfId="29" xr:uid="{00000000-0005-0000-0000-00001C000000}"/>
    <cellStyle name="60% - Accent6" xfId="30" xr:uid="{00000000-0005-0000-0000-00001D000000}"/>
    <cellStyle name="60% - Ênfase1 2" xfId="31" xr:uid="{00000000-0005-0000-0000-00001E000000}"/>
    <cellStyle name="60% - Ênfase2 2" xfId="32" xr:uid="{00000000-0005-0000-0000-00001F000000}"/>
    <cellStyle name="60% - Ênfase3 2" xfId="33" xr:uid="{00000000-0005-0000-0000-000020000000}"/>
    <cellStyle name="60% - Ênfase4 2" xfId="34" xr:uid="{00000000-0005-0000-0000-000021000000}"/>
    <cellStyle name="60% - Ênfase5 2" xfId="35" xr:uid="{00000000-0005-0000-0000-000022000000}"/>
    <cellStyle name="60% - Ênfase6 2" xfId="36" xr:uid="{00000000-0005-0000-0000-000023000000}"/>
    <cellStyle name="Accent1" xfId="37" xr:uid="{00000000-0005-0000-0000-000024000000}"/>
    <cellStyle name="Accent2" xfId="38" xr:uid="{00000000-0005-0000-0000-000025000000}"/>
    <cellStyle name="Accent3" xfId="39" xr:uid="{00000000-0005-0000-0000-000026000000}"/>
    <cellStyle name="Accent4" xfId="40" xr:uid="{00000000-0005-0000-0000-000027000000}"/>
    <cellStyle name="Accent5" xfId="41" xr:uid="{00000000-0005-0000-0000-000028000000}"/>
    <cellStyle name="Accent6" xfId="42" xr:uid="{00000000-0005-0000-0000-000029000000}"/>
    <cellStyle name="Bad" xfId="43" xr:uid="{00000000-0005-0000-0000-00002A000000}"/>
    <cellStyle name="Bom 2" xfId="44" xr:uid="{00000000-0005-0000-0000-00002B000000}"/>
    <cellStyle name="Calculation" xfId="45" xr:uid="{00000000-0005-0000-0000-00002C000000}"/>
    <cellStyle name="Cálculo 2" xfId="46" xr:uid="{00000000-0005-0000-0000-00002D000000}"/>
    <cellStyle name="Célula de Verificação 2" xfId="47" xr:uid="{00000000-0005-0000-0000-00002E000000}"/>
    <cellStyle name="Célula Vinculada 2" xfId="48" xr:uid="{00000000-0005-0000-0000-00002F000000}"/>
    <cellStyle name="Ênfase1 2" xfId="49" xr:uid="{00000000-0005-0000-0000-000030000000}"/>
    <cellStyle name="Ênfase2 2" xfId="50" xr:uid="{00000000-0005-0000-0000-000031000000}"/>
    <cellStyle name="Ênfase3 2" xfId="51" xr:uid="{00000000-0005-0000-0000-000032000000}"/>
    <cellStyle name="Ênfase4 2" xfId="52" xr:uid="{00000000-0005-0000-0000-000033000000}"/>
    <cellStyle name="Ênfase5 2" xfId="53" xr:uid="{00000000-0005-0000-0000-000034000000}"/>
    <cellStyle name="Ênfase6 2" xfId="54" xr:uid="{00000000-0005-0000-0000-000035000000}"/>
    <cellStyle name="Entrada 2" xfId="55" xr:uid="{00000000-0005-0000-0000-000036000000}"/>
    <cellStyle name="Excel Built-in Excel Built-in Excel Built-in Excel Built-in Excel Built-in Excel Built-in Excel Built-in Excel Built-in Excel Built-in Excel Built" xfId="84" xr:uid="{00000000-0005-0000-0000-000037000000}"/>
    <cellStyle name="Explanatory Text" xfId="56" xr:uid="{00000000-0005-0000-0000-000038000000}"/>
    <cellStyle name="Heading 1" xfId="57" xr:uid="{00000000-0005-0000-0000-000039000000}"/>
    <cellStyle name="Heading 2" xfId="58" xr:uid="{00000000-0005-0000-0000-00003A000000}"/>
    <cellStyle name="Heading 3" xfId="59" xr:uid="{00000000-0005-0000-0000-00003B000000}"/>
    <cellStyle name="Heading 4" xfId="60" xr:uid="{00000000-0005-0000-0000-00003C000000}"/>
    <cellStyle name="Incorreto 2" xfId="61" xr:uid="{00000000-0005-0000-0000-00003D000000}"/>
    <cellStyle name="Moeda" xfId="62" builtinId="4"/>
    <cellStyle name="Moeda 2" xfId="63" xr:uid="{00000000-0005-0000-0000-00003F000000}"/>
    <cellStyle name="Neutra 2" xfId="64" xr:uid="{00000000-0005-0000-0000-000040000000}"/>
    <cellStyle name="Normal" xfId="0" builtinId="0"/>
    <cellStyle name="Normal 19" xfId="65" xr:uid="{00000000-0005-0000-0000-000042000000}"/>
    <cellStyle name="Normal 2" xfId="66" xr:uid="{00000000-0005-0000-0000-000043000000}"/>
    <cellStyle name="Normal 3" xfId="67" xr:uid="{00000000-0005-0000-0000-000044000000}"/>
    <cellStyle name="Normal 4" xfId="68" xr:uid="{00000000-0005-0000-0000-000045000000}"/>
    <cellStyle name="Normal 9" xfId="85" xr:uid="{00000000-0005-0000-0000-000046000000}"/>
    <cellStyle name="Nota 2" xfId="69" xr:uid="{00000000-0005-0000-0000-000047000000}"/>
    <cellStyle name="Output" xfId="70" xr:uid="{00000000-0005-0000-0000-000048000000}"/>
    <cellStyle name="Porcentagem" xfId="87" builtinId="5"/>
    <cellStyle name="Porcentagem 2" xfId="71" xr:uid="{00000000-0005-0000-0000-00004A000000}"/>
    <cellStyle name="Saída 2" xfId="72" xr:uid="{00000000-0005-0000-0000-00004B000000}"/>
    <cellStyle name="Texto de Aviso 2" xfId="73" xr:uid="{00000000-0005-0000-0000-00004C000000}"/>
    <cellStyle name="Texto Explicativo" xfId="86" builtinId="53"/>
    <cellStyle name="Texto Explicativo 2" xfId="74" xr:uid="{00000000-0005-0000-0000-00004D000000}"/>
    <cellStyle name="Title" xfId="75" xr:uid="{00000000-0005-0000-0000-00004E000000}"/>
    <cellStyle name="Título 1 2" xfId="76" xr:uid="{00000000-0005-0000-0000-00004F000000}"/>
    <cellStyle name="Título 2 2" xfId="77" xr:uid="{00000000-0005-0000-0000-000050000000}"/>
    <cellStyle name="Título 3 2" xfId="78" xr:uid="{00000000-0005-0000-0000-000051000000}"/>
    <cellStyle name="Título 4 2" xfId="79" xr:uid="{00000000-0005-0000-0000-000052000000}"/>
    <cellStyle name="Título 5" xfId="80" xr:uid="{00000000-0005-0000-0000-000053000000}"/>
    <cellStyle name="Total 2" xfId="81" xr:uid="{00000000-0005-0000-0000-000054000000}"/>
    <cellStyle name="Vírgula" xfId="82" builtinId="3"/>
    <cellStyle name="Vírgula 2" xfId="83" xr:uid="{00000000-0005-0000-0000-00005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996666"/>
      <rgbColor rgb="009999FF"/>
      <rgbColor rgb="00993366"/>
      <rgbColor rgb="00FFFFC0"/>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CCFFCC"/>
      <rgbColor rgb="00FFFF99"/>
      <rgbColor rgb="00BFBFB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CC"/>
      <rgbColor rgb="00333333"/>
    </indexedColors>
    <mruColors>
      <color rgb="FFCC99FF"/>
      <color rgb="FFCCCCFF"/>
      <color rgb="FFCC66FF"/>
      <color rgb="FF9966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460197</xdr:colOff>
      <xdr:row>1</xdr:row>
      <xdr:rowOff>51683</xdr:rowOff>
    </xdr:from>
    <xdr:to>
      <xdr:col>12</xdr:col>
      <xdr:colOff>936024</xdr:colOff>
      <xdr:row>3</xdr:row>
      <xdr:rowOff>117088</xdr:rowOff>
    </xdr:to>
    <xdr:pic>
      <xdr:nvPicPr>
        <xdr:cNvPr id="4" name="Imagem 3">
          <a:extLst>
            <a:ext uri="{FF2B5EF4-FFF2-40B4-BE49-F238E27FC236}">
              <a16:creationId xmlns:a16="http://schemas.microsoft.com/office/drawing/2014/main" id="{7E9DE66C-ED57-4137-9F38-A32D282F268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68047" y="280283"/>
          <a:ext cx="1122257" cy="5226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409222</xdr:colOff>
      <xdr:row>0</xdr:row>
      <xdr:rowOff>48491</xdr:rowOff>
    </xdr:from>
    <xdr:to>
      <xdr:col>16</xdr:col>
      <xdr:colOff>592103</xdr:colOff>
      <xdr:row>2</xdr:row>
      <xdr:rowOff>136756</xdr:rowOff>
    </xdr:to>
    <xdr:pic>
      <xdr:nvPicPr>
        <xdr:cNvPr id="4" name="Imagem 3">
          <a:extLst>
            <a:ext uri="{FF2B5EF4-FFF2-40B4-BE49-F238E27FC236}">
              <a16:creationId xmlns:a16="http://schemas.microsoft.com/office/drawing/2014/main" id="{990D811E-7996-48E9-9773-362BCC6392D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68389" y="48491"/>
          <a:ext cx="1164167" cy="534035"/>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5"/>
  <sheetViews>
    <sheetView tabSelected="1" view="pageBreakPreview" zoomScaleNormal="100" zoomScaleSheetLayoutView="100" zoomScalePageLayoutView="55" workbookViewId="0">
      <pane xSplit="1" ySplit="7" topLeftCell="B8" activePane="bottomRight" state="frozen"/>
      <selection pane="topRight"/>
      <selection pane="bottomLeft"/>
      <selection pane="bottomRight" sqref="A1:M1"/>
    </sheetView>
  </sheetViews>
  <sheetFormatPr defaultColWidth="11.54296875" defaultRowHeight="18" customHeight="1" x14ac:dyDescent="0.25"/>
  <cols>
    <col min="1" max="1" width="7.26953125" style="14" customWidth="1"/>
    <col min="2" max="2" width="14.26953125" style="11" customWidth="1"/>
    <col min="3" max="4" width="15.453125" style="11" customWidth="1"/>
    <col min="5" max="5" width="40" style="15" customWidth="1"/>
    <col min="6" max="6" width="29.26953125" style="15" customWidth="1"/>
    <col min="7" max="7" width="8.7265625" style="16" customWidth="1"/>
    <col min="8" max="8" width="12.54296875" style="17" customWidth="1"/>
    <col min="9" max="9" width="13.81640625" style="30" customWidth="1"/>
    <col min="10" max="10" width="7.453125" style="17" customWidth="1"/>
    <col min="11" max="11" width="13.81640625" style="28" customWidth="1"/>
    <col min="12" max="12" width="9.08984375" style="18" customWidth="1"/>
    <col min="13" max="13" width="20" style="28" customWidth="1"/>
    <col min="14" max="16384" width="11.54296875" style="10"/>
  </cols>
  <sheetData>
    <row r="1" spans="1:13" ht="18" customHeight="1" x14ac:dyDescent="0.25">
      <c r="A1" s="135" t="s">
        <v>43</v>
      </c>
      <c r="B1" s="135"/>
      <c r="C1" s="135"/>
      <c r="D1" s="135"/>
      <c r="E1" s="135"/>
      <c r="F1" s="135"/>
      <c r="G1" s="135"/>
      <c r="H1" s="135"/>
      <c r="I1" s="135"/>
      <c r="J1" s="135"/>
      <c r="K1" s="135"/>
      <c r="L1" s="135"/>
      <c r="M1" s="135"/>
    </row>
    <row r="2" spans="1:13" ht="18" customHeight="1" x14ac:dyDescent="0.25">
      <c r="A2" s="134" t="s">
        <v>46</v>
      </c>
      <c r="B2" s="134"/>
      <c r="C2" s="134"/>
      <c r="D2" s="134"/>
      <c r="E2" s="134"/>
      <c r="F2" s="134" t="s">
        <v>180</v>
      </c>
      <c r="G2" s="134"/>
      <c r="H2" s="134" t="s">
        <v>55</v>
      </c>
      <c r="I2" s="134"/>
      <c r="J2" s="134"/>
      <c r="K2" s="134"/>
      <c r="L2" s="137" t="s">
        <v>57</v>
      </c>
      <c r="M2" s="137"/>
    </row>
    <row r="3" spans="1:13" ht="18" customHeight="1" x14ac:dyDescent="0.25">
      <c r="A3" s="134" t="s">
        <v>198</v>
      </c>
      <c r="B3" s="134"/>
      <c r="C3" s="134"/>
      <c r="D3" s="134"/>
      <c r="E3" s="134"/>
      <c r="F3" s="134" t="s">
        <v>196</v>
      </c>
      <c r="G3" s="134"/>
      <c r="H3" s="134" t="s">
        <v>54</v>
      </c>
      <c r="I3" s="134"/>
      <c r="J3" s="134"/>
      <c r="K3" s="134"/>
      <c r="L3" s="137"/>
      <c r="M3" s="137"/>
    </row>
    <row r="4" spans="1:13" ht="18" customHeight="1" x14ac:dyDescent="0.25">
      <c r="A4" s="139" t="s">
        <v>53</v>
      </c>
      <c r="B4" s="139"/>
      <c r="C4" s="139"/>
      <c r="D4" s="139"/>
      <c r="E4" s="139"/>
      <c r="F4" s="134" t="s">
        <v>179</v>
      </c>
      <c r="G4" s="134"/>
      <c r="H4" s="136" t="s">
        <v>58</v>
      </c>
      <c r="I4" s="136"/>
      <c r="J4" s="136"/>
      <c r="K4" s="136"/>
      <c r="L4" s="137"/>
      <c r="M4" s="137"/>
    </row>
    <row r="5" spans="1:13" ht="18" customHeight="1" x14ac:dyDescent="0.25">
      <c r="A5" s="140" t="s">
        <v>44</v>
      </c>
      <c r="B5" s="140"/>
      <c r="C5" s="140"/>
      <c r="D5" s="140"/>
      <c r="E5" s="140"/>
      <c r="F5" s="140" t="s">
        <v>96</v>
      </c>
      <c r="G5" s="141"/>
      <c r="H5" s="154" t="s">
        <v>5</v>
      </c>
      <c r="I5" s="142"/>
      <c r="J5" s="142">
        <f>M61</f>
        <v>350327.24533499999</v>
      </c>
      <c r="K5" s="143"/>
      <c r="L5" s="138"/>
      <c r="M5" s="137"/>
    </row>
    <row r="6" spans="1:13" s="11" customFormat="1" ht="18" customHeight="1" x14ac:dyDescent="0.25">
      <c r="A6" s="125" t="s">
        <v>0</v>
      </c>
      <c r="B6" s="125" t="s">
        <v>37</v>
      </c>
      <c r="C6" s="125" t="s">
        <v>45</v>
      </c>
      <c r="D6" s="125" t="s">
        <v>52</v>
      </c>
      <c r="E6" s="128" t="s">
        <v>51</v>
      </c>
      <c r="F6" s="128"/>
      <c r="G6" s="133" t="s">
        <v>3</v>
      </c>
      <c r="H6" s="144" t="s">
        <v>7</v>
      </c>
      <c r="I6" s="131" t="s">
        <v>4</v>
      </c>
      <c r="J6" s="129" t="s">
        <v>1</v>
      </c>
      <c r="K6" s="131" t="s">
        <v>6</v>
      </c>
      <c r="L6" s="126" t="s">
        <v>38</v>
      </c>
      <c r="M6" s="127" t="s">
        <v>5</v>
      </c>
    </row>
    <row r="7" spans="1:13" s="11" customFormat="1" ht="27.75" customHeight="1" x14ac:dyDescent="0.25">
      <c r="A7" s="125"/>
      <c r="B7" s="125"/>
      <c r="C7" s="125"/>
      <c r="D7" s="125"/>
      <c r="E7" s="128"/>
      <c r="F7" s="128"/>
      <c r="G7" s="133"/>
      <c r="H7" s="145"/>
      <c r="I7" s="132"/>
      <c r="J7" s="130"/>
      <c r="K7" s="132"/>
      <c r="L7" s="126"/>
      <c r="M7" s="127"/>
    </row>
    <row r="8" spans="1:13" s="43" customFormat="1" ht="32.5" customHeight="1" x14ac:dyDescent="0.25">
      <c r="A8" s="41">
        <v>1</v>
      </c>
      <c r="B8" s="41"/>
      <c r="C8" s="41"/>
      <c r="D8" s="41"/>
      <c r="E8" s="152" t="s">
        <v>93</v>
      </c>
      <c r="F8" s="152"/>
      <c r="G8" s="32"/>
      <c r="H8" s="32"/>
      <c r="I8" s="33"/>
      <c r="J8" s="32"/>
      <c r="K8" s="33"/>
      <c r="L8" s="34">
        <f>(M8/M61)*100</f>
        <v>13.938398140660274</v>
      </c>
      <c r="M8" s="42">
        <f>SUM(M9:M22)</f>
        <v>48830.006249999999</v>
      </c>
    </row>
    <row r="9" spans="1:13" s="80" customFormat="1" ht="103" customHeight="1" x14ac:dyDescent="0.25">
      <c r="A9" s="76" t="s">
        <v>97</v>
      </c>
      <c r="B9" s="76" t="s">
        <v>56</v>
      </c>
      <c r="C9" s="76" t="s">
        <v>98</v>
      </c>
      <c r="D9" s="76" t="s">
        <v>72</v>
      </c>
      <c r="E9" s="153" t="s">
        <v>128</v>
      </c>
      <c r="F9" s="153"/>
      <c r="G9" s="76" t="s">
        <v>8</v>
      </c>
      <c r="H9" s="77">
        <f>1.5*2</f>
        <v>3</v>
      </c>
      <c r="I9" s="78">
        <v>187.49</v>
      </c>
      <c r="J9" s="45">
        <v>1.25</v>
      </c>
      <c r="K9" s="78">
        <f>I9*J9</f>
        <v>234.36250000000001</v>
      </c>
      <c r="L9" s="48">
        <f>(M9/M61)*100</f>
        <v>0.20069449617818721</v>
      </c>
      <c r="M9" s="79">
        <f>K9*H9</f>
        <v>703.08750000000009</v>
      </c>
    </row>
    <row r="10" spans="1:13" s="80" customFormat="1" ht="82" customHeight="1" x14ac:dyDescent="0.25">
      <c r="A10" s="76" t="s">
        <v>133</v>
      </c>
      <c r="B10" s="76" t="s">
        <v>130</v>
      </c>
      <c r="C10" s="76" t="s">
        <v>131</v>
      </c>
      <c r="D10" s="76" t="s">
        <v>72</v>
      </c>
      <c r="E10" s="153" t="s">
        <v>132</v>
      </c>
      <c r="F10" s="153"/>
      <c r="G10" s="76" t="s">
        <v>80</v>
      </c>
      <c r="H10" s="77">
        <v>1</v>
      </c>
      <c r="I10" s="78">
        <f>(1082.19*3)+(332.2*2)</f>
        <v>3910.9700000000003</v>
      </c>
      <c r="J10" s="45">
        <v>1.25</v>
      </c>
      <c r="K10" s="78">
        <f t="shared" ref="K10:K22" si="0">I10*J10</f>
        <v>4888.7125000000005</v>
      </c>
      <c r="L10" s="48">
        <f>(M10/M61)*100</f>
        <v>1.3954702539122172</v>
      </c>
      <c r="M10" s="79">
        <f t="shared" ref="M10:M22" si="1">K10*H10</f>
        <v>4888.7125000000005</v>
      </c>
    </row>
    <row r="11" spans="1:13" s="80" customFormat="1" ht="89" customHeight="1" x14ac:dyDescent="0.25">
      <c r="A11" s="76" t="s">
        <v>134</v>
      </c>
      <c r="B11" s="44" t="s">
        <v>56</v>
      </c>
      <c r="C11" s="76" t="s">
        <v>129</v>
      </c>
      <c r="D11" s="76" t="s">
        <v>72</v>
      </c>
      <c r="E11" s="153" t="s">
        <v>206</v>
      </c>
      <c r="F11" s="153"/>
      <c r="G11" s="76" t="s">
        <v>90</v>
      </c>
      <c r="H11" s="77">
        <v>0.5</v>
      </c>
      <c r="I11" s="78">
        <f>(H11*350000)/100</f>
        <v>1750</v>
      </c>
      <c r="J11" s="45">
        <v>1.25</v>
      </c>
      <c r="K11" s="78">
        <f t="shared" ref="K11" si="2">I11*J11</f>
        <v>2187.5</v>
      </c>
      <c r="L11" s="48">
        <f>(M11/M61)*100</f>
        <v>0.62441617919502834</v>
      </c>
      <c r="M11" s="79">
        <f>K11</f>
        <v>2187.5</v>
      </c>
    </row>
    <row r="12" spans="1:13" s="19" customFormat="1" ht="28" customHeight="1" x14ac:dyDescent="0.25">
      <c r="A12" s="76" t="s">
        <v>135</v>
      </c>
      <c r="B12" s="44" t="s">
        <v>56</v>
      </c>
      <c r="C12" s="44" t="s">
        <v>79</v>
      </c>
      <c r="D12" s="76" t="s">
        <v>72</v>
      </c>
      <c r="E12" s="117" t="s">
        <v>112</v>
      </c>
      <c r="F12" s="117"/>
      <c r="G12" s="45" t="s">
        <v>63</v>
      </c>
      <c r="H12" s="46">
        <f>(300*0.1)+(90*0.3)+(35*0.2)+16</f>
        <v>80</v>
      </c>
      <c r="I12" s="47">
        <v>31.42</v>
      </c>
      <c r="J12" s="45">
        <v>1.25</v>
      </c>
      <c r="K12" s="78">
        <f t="shared" si="0"/>
        <v>39.275000000000006</v>
      </c>
      <c r="L12" s="48">
        <f>(M12/M61)*100</f>
        <v>0.89687571887121331</v>
      </c>
      <c r="M12" s="79">
        <f t="shared" si="1"/>
        <v>3142.0000000000005</v>
      </c>
    </row>
    <row r="13" spans="1:13" s="19" customFormat="1" ht="48.5" customHeight="1" x14ac:dyDescent="0.25">
      <c r="A13" s="76" t="s">
        <v>136</v>
      </c>
      <c r="B13" s="44" t="s">
        <v>56</v>
      </c>
      <c r="C13" s="44" t="s">
        <v>84</v>
      </c>
      <c r="D13" s="76" t="s">
        <v>72</v>
      </c>
      <c r="E13" s="117" t="s">
        <v>113</v>
      </c>
      <c r="F13" s="117"/>
      <c r="G13" s="45" t="s">
        <v>63</v>
      </c>
      <c r="H13" s="46">
        <f>(20*0.6)+(95*0.3)+(250*1)+19.5</f>
        <v>310</v>
      </c>
      <c r="I13" s="47">
        <v>6.83</v>
      </c>
      <c r="J13" s="45">
        <v>1.25</v>
      </c>
      <c r="K13" s="78">
        <f t="shared" si="0"/>
        <v>8.5374999999999996</v>
      </c>
      <c r="L13" s="48">
        <f>(M13/M61)*100</f>
        <v>0.7554722149769334</v>
      </c>
      <c r="M13" s="79">
        <f t="shared" si="1"/>
        <v>2646.625</v>
      </c>
    </row>
    <row r="14" spans="1:13" s="19" customFormat="1" ht="48.5" customHeight="1" x14ac:dyDescent="0.25">
      <c r="A14" s="76" t="s">
        <v>137</v>
      </c>
      <c r="B14" s="44" t="s">
        <v>56</v>
      </c>
      <c r="C14" s="44" t="s">
        <v>82</v>
      </c>
      <c r="D14" s="76" t="s">
        <v>72</v>
      </c>
      <c r="E14" s="117" t="s">
        <v>115</v>
      </c>
      <c r="F14" s="117"/>
      <c r="G14" s="45" t="s">
        <v>63</v>
      </c>
      <c r="H14" s="46">
        <v>120</v>
      </c>
      <c r="I14" s="47">
        <v>31.42</v>
      </c>
      <c r="J14" s="45">
        <v>1.25</v>
      </c>
      <c r="K14" s="78">
        <f t="shared" si="0"/>
        <v>39.275000000000006</v>
      </c>
      <c r="L14" s="48">
        <f>(M14/M61)*100</f>
        <v>1.3453135783068202</v>
      </c>
      <c r="M14" s="79">
        <f t="shared" si="1"/>
        <v>4713.0000000000009</v>
      </c>
    </row>
    <row r="15" spans="1:13" s="19" customFormat="1" ht="33.5" customHeight="1" x14ac:dyDescent="0.25">
      <c r="A15" s="76" t="s">
        <v>138</v>
      </c>
      <c r="B15" s="44" t="s">
        <v>56</v>
      </c>
      <c r="C15" s="44" t="s">
        <v>83</v>
      </c>
      <c r="D15" s="76" t="s">
        <v>72</v>
      </c>
      <c r="E15" s="117" t="s">
        <v>116</v>
      </c>
      <c r="F15" s="117"/>
      <c r="G15" s="45" t="s">
        <v>63</v>
      </c>
      <c r="H15" s="46">
        <f>H13+H14+10</f>
        <v>440</v>
      </c>
      <c r="I15" s="47">
        <v>30</v>
      </c>
      <c r="J15" s="45">
        <v>1.25</v>
      </c>
      <c r="K15" s="78">
        <f t="shared" si="0"/>
        <v>37.5</v>
      </c>
      <c r="L15" s="48">
        <f>(M15/M61)*100</f>
        <v>4.7098820373567847</v>
      </c>
      <c r="M15" s="79">
        <f t="shared" si="1"/>
        <v>16500</v>
      </c>
    </row>
    <row r="16" spans="1:13" s="19" customFormat="1" ht="63.5" customHeight="1" x14ac:dyDescent="0.25">
      <c r="A16" s="76" t="s">
        <v>99</v>
      </c>
      <c r="B16" s="44" t="s">
        <v>117</v>
      </c>
      <c r="C16" s="44" t="s">
        <v>118</v>
      </c>
      <c r="D16" s="76" t="s">
        <v>72</v>
      </c>
      <c r="E16" s="117" t="s">
        <v>212</v>
      </c>
      <c r="F16" s="117"/>
      <c r="G16" s="45" t="s">
        <v>80</v>
      </c>
      <c r="H16" s="46">
        <v>9</v>
      </c>
      <c r="I16" s="47">
        <f>42.4+31.42</f>
        <v>73.819999999999993</v>
      </c>
      <c r="J16" s="45">
        <v>1.25</v>
      </c>
      <c r="K16" s="78">
        <f t="shared" si="0"/>
        <v>92.274999999999991</v>
      </c>
      <c r="L16" s="48">
        <f>(M16/M61)*100</f>
        <v>0.23705692636205306</v>
      </c>
      <c r="M16" s="79">
        <f t="shared" si="1"/>
        <v>830.47499999999991</v>
      </c>
    </row>
    <row r="17" spans="1:13" s="19" customFormat="1" ht="48" customHeight="1" x14ac:dyDescent="0.25">
      <c r="A17" s="76" t="s">
        <v>139</v>
      </c>
      <c r="B17" s="44" t="s">
        <v>56</v>
      </c>
      <c r="C17" s="44" t="s">
        <v>119</v>
      </c>
      <c r="D17" s="76" t="s">
        <v>72</v>
      </c>
      <c r="E17" s="117" t="s">
        <v>211</v>
      </c>
      <c r="F17" s="117"/>
      <c r="G17" s="45" t="s">
        <v>63</v>
      </c>
      <c r="H17" s="46">
        <f>3*0.5</f>
        <v>1.5</v>
      </c>
      <c r="I17" s="47">
        <v>53.41</v>
      </c>
      <c r="J17" s="45">
        <v>1.25</v>
      </c>
      <c r="K17" s="78">
        <f t="shared" si="0"/>
        <v>66.762499999999989</v>
      </c>
      <c r="L17" s="48">
        <f>(M17/M61)*100</f>
        <v>2.8585772683548394E-2</v>
      </c>
      <c r="M17" s="79">
        <f t="shared" si="1"/>
        <v>100.14374999999998</v>
      </c>
    </row>
    <row r="18" spans="1:13" s="19" customFormat="1" ht="105.5" customHeight="1" x14ac:dyDescent="0.25">
      <c r="A18" s="76" t="s">
        <v>140</v>
      </c>
      <c r="B18" s="44" t="s">
        <v>56</v>
      </c>
      <c r="C18" s="44" t="s">
        <v>204</v>
      </c>
      <c r="D18" s="76" t="s">
        <v>72</v>
      </c>
      <c r="E18" s="117" t="s">
        <v>213</v>
      </c>
      <c r="F18" s="117"/>
      <c r="G18" s="45" t="s">
        <v>80</v>
      </c>
      <c r="H18" s="46">
        <v>3</v>
      </c>
      <c r="I18" s="47">
        <v>335.36</v>
      </c>
      <c r="J18" s="45">
        <v>1.25</v>
      </c>
      <c r="K18" s="78">
        <f t="shared" si="0"/>
        <v>419.20000000000005</v>
      </c>
      <c r="L18" s="48">
        <f>(M18/M61)*100</f>
        <v>0.35897864546544811</v>
      </c>
      <c r="M18" s="79">
        <f t="shared" si="1"/>
        <v>1257.6000000000001</v>
      </c>
    </row>
    <row r="19" spans="1:13" s="19" customFormat="1" ht="113.5" customHeight="1" x14ac:dyDescent="0.25">
      <c r="A19" s="76" t="s">
        <v>141</v>
      </c>
      <c r="B19" s="44" t="s">
        <v>56</v>
      </c>
      <c r="C19" s="44" t="s">
        <v>202</v>
      </c>
      <c r="D19" s="76" t="s">
        <v>72</v>
      </c>
      <c r="E19" s="118" t="s">
        <v>214</v>
      </c>
      <c r="F19" s="119"/>
      <c r="G19" s="45" t="s">
        <v>80</v>
      </c>
      <c r="H19" s="46">
        <v>3</v>
      </c>
      <c r="I19" s="47">
        <v>427.91</v>
      </c>
      <c r="J19" s="45">
        <v>1.25</v>
      </c>
      <c r="K19" s="78">
        <f t="shared" si="0"/>
        <v>534.88750000000005</v>
      </c>
      <c r="L19" s="48">
        <f>(M19/M61)*100</f>
        <v>0.45804673241030502</v>
      </c>
      <c r="M19" s="79">
        <f t="shared" si="1"/>
        <v>1604.6625000000001</v>
      </c>
    </row>
    <row r="20" spans="1:13" s="19" customFormat="1" ht="66.5" customHeight="1" x14ac:dyDescent="0.25">
      <c r="A20" s="76" t="s">
        <v>142</v>
      </c>
      <c r="B20" s="44" t="s">
        <v>56</v>
      </c>
      <c r="C20" s="44" t="s">
        <v>81</v>
      </c>
      <c r="D20" s="76" t="s">
        <v>72</v>
      </c>
      <c r="E20" s="117" t="s">
        <v>203</v>
      </c>
      <c r="F20" s="117"/>
      <c r="G20" s="45" t="s">
        <v>77</v>
      </c>
      <c r="H20" s="46">
        <v>8</v>
      </c>
      <c r="I20" s="47">
        <v>89.85</v>
      </c>
      <c r="J20" s="45">
        <v>1.25</v>
      </c>
      <c r="K20" s="78">
        <f t="shared" si="0"/>
        <v>112.3125</v>
      </c>
      <c r="L20" s="48">
        <f>(M20/M61)*100</f>
        <v>0.2564744854887922</v>
      </c>
      <c r="M20" s="79">
        <f t="shared" si="1"/>
        <v>898.5</v>
      </c>
    </row>
    <row r="21" spans="1:13" s="19" customFormat="1" ht="64" customHeight="1" x14ac:dyDescent="0.25">
      <c r="A21" s="76" t="s">
        <v>143</v>
      </c>
      <c r="B21" s="44" t="s">
        <v>56</v>
      </c>
      <c r="C21" s="44" t="s">
        <v>101</v>
      </c>
      <c r="D21" s="76" t="s">
        <v>72</v>
      </c>
      <c r="E21" s="117" t="s">
        <v>120</v>
      </c>
      <c r="F21" s="117"/>
      <c r="G21" s="45" t="s">
        <v>77</v>
      </c>
      <c r="H21" s="46">
        <v>72</v>
      </c>
      <c r="I21" s="47">
        <v>44.63</v>
      </c>
      <c r="J21" s="45">
        <v>1.25</v>
      </c>
      <c r="K21" s="78">
        <f t="shared" si="0"/>
        <v>55.787500000000001</v>
      </c>
      <c r="L21" s="48">
        <f>(M21/M61)*100</f>
        <v>1.1465565563303637</v>
      </c>
      <c r="M21" s="79">
        <f t="shared" si="1"/>
        <v>4016.7000000000003</v>
      </c>
    </row>
    <row r="22" spans="1:13" s="19" customFormat="1" ht="36.5" customHeight="1" x14ac:dyDescent="0.25">
      <c r="A22" s="76" t="s">
        <v>144</v>
      </c>
      <c r="B22" s="44" t="s">
        <v>56</v>
      </c>
      <c r="C22" s="44" t="s">
        <v>68</v>
      </c>
      <c r="D22" s="76" t="s">
        <v>72</v>
      </c>
      <c r="E22" s="117" t="s">
        <v>215</v>
      </c>
      <c r="F22" s="117"/>
      <c r="G22" s="45" t="s">
        <v>63</v>
      </c>
      <c r="H22" s="46">
        <f>(300*0.1)+(15*0.3)+(90*0.5)+0.5</f>
        <v>80</v>
      </c>
      <c r="I22" s="47">
        <v>53.41</v>
      </c>
      <c r="J22" s="45">
        <v>1.25</v>
      </c>
      <c r="K22" s="78">
        <f t="shared" si="0"/>
        <v>66.762499999999989</v>
      </c>
      <c r="L22" s="48">
        <f>(M22/M61)*100</f>
        <v>1.5245745431225808</v>
      </c>
      <c r="M22" s="79">
        <f t="shared" si="1"/>
        <v>5340.9999999999991</v>
      </c>
    </row>
    <row r="23" spans="1:13" s="43" customFormat="1" ht="21" customHeight="1" x14ac:dyDescent="0.25">
      <c r="A23" s="41">
        <v>2</v>
      </c>
      <c r="B23" s="41"/>
      <c r="C23" s="41"/>
      <c r="D23" s="41"/>
      <c r="E23" s="152" t="s">
        <v>73</v>
      </c>
      <c r="F23" s="152"/>
      <c r="G23" s="32"/>
      <c r="H23" s="32"/>
      <c r="I23" s="33"/>
      <c r="J23" s="32"/>
      <c r="K23" s="33"/>
      <c r="L23" s="34">
        <f>(M23/M61)*100</f>
        <v>31.238388565911112</v>
      </c>
      <c r="M23" s="42">
        <f>SUM(M24:M36)</f>
        <v>109436.58615</v>
      </c>
    </row>
    <row r="24" spans="1:13" s="19" customFormat="1" ht="53" customHeight="1" x14ac:dyDescent="0.25">
      <c r="A24" s="44" t="s">
        <v>145</v>
      </c>
      <c r="B24" s="44" t="s">
        <v>56</v>
      </c>
      <c r="C24" s="44" t="s">
        <v>61</v>
      </c>
      <c r="D24" s="44" t="s">
        <v>72</v>
      </c>
      <c r="E24" s="117" t="s">
        <v>62</v>
      </c>
      <c r="F24" s="117"/>
      <c r="G24" s="45" t="s">
        <v>8</v>
      </c>
      <c r="H24" s="46">
        <f>((50+(24*2.7)+(76*2.7)+(86*2.7)+7.8)*1.1)+90+5</f>
        <v>711</v>
      </c>
      <c r="I24" s="47">
        <v>7.09</v>
      </c>
      <c r="J24" s="45">
        <v>1.25</v>
      </c>
      <c r="K24" s="78">
        <f t="shared" ref="K24:K36" si="3">I24*J24</f>
        <v>8.8625000000000007</v>
      </c>
      <c r="L24" s="48">
        <f>(M24/M61)*100</f>
        <v>1.7986718372344834</v>
      </c>
      <c r="M24" s="79">
        <f t="shared" ref="M24:M36" si="4">K24*H24</f>
        <v>6301.2375000000002</v>
      </c>
    </row>
    <row r="25" spans="1:13" s="19" customFormat="1" ht="33" customHeight="1" x14ac:dyDescent="0.25">
      <c r="A25" s="44" t="s">
        <v>146</v>
      </c>
      <c r="B25" s="44" t="s">
        <v>56</v>
      </c>
      <c r="C25" s="44" t="s">
        <v>60</v>
      </c>
      <c r="D25" s="44" t="s">
        <v>72</v>
      </c>
      <c r="E25" s="117" t="s">
        <v>59</v>
      </c>
      <c r="F25" s="117"/>
      <c r="G25" s="45" t="s">
        <v>8</v>
      </c>
      <c r="H25" s="46">
        <f>(3*20)+H24+22+6.6+6.6</f>
        <v>806.2</v>
      </c>
      <c r="I25" s="47">
        <v>26.27</v>
      </c>
      <c r="J25" s="45">
        <v>1.25</v>
      </c>
      <c r="K25" s="78">
        <f t="shared" si="3"/>
        <v>32.837499999999999</v>
      </c>
      <c r="L25" s="48">
        <f>(M25/M61)*100</f>
        <v>7.5568180472759581</v>
      </c>
      <c r="M25" s="79">
        <f t="shared" si="4"/>
        <v>26473.592499999999</v>
      </c>
    </row>
    <row r="26" spans="1:13" s="19" customFormat="1" ht="39.5" customHeight="1" x14ac:dyDescent="0.25">
      <c r="A26" s="44" t="s">
        <v>147</v>
      </c>
      <c r="B26" s="44" t="s">
        <v>56</v>
      </c>
      <c r="C26" s="44" t="s">
        <v>66</v>
      </c>
      <c r="D26" s="44" t="s">
        <v>72</v>
      </c>
      <c r="E26" s="117" t="s">
        <v>67</v>
      </c>
      <c r="F26" s="117"/>
      <c r="G26" s="45" t="s">
        <v>8</v>
      </c>
      <c r="H26" s="46">
        <f>H25</f>
        <v>806.2</v>
      </c>
      <c r="I26" s="47">
        <v>4.88</v>
      </c>
      <c r="J26" s="45">
        <v>1.25</v>
      </c>
      <c r="K26" s="78">
        <f t="shared" si="3"/>
        <v>6.1</v>
      </c>
      <c r="L26" s="48">
        <f>(M26/M61)*100</f>
        <v>1.4037789139972086</v>
      </c>
      <c r="M26" s="79">
        <f t="shared" si="4"/>
        <v>4917.82</v>
      </c>
    </row>
    <row r="27" spans="1:13" s="19" customFormat="1" ht="31.5" customHeight="1" x14ac:dyDescent="0.25">
      <c r="A27" s="44" t="s">
        <v>148</v>
      </c>
      <c r="B27" s="44" t="s">
        <v>56</v>
      </c>
      <c r="C27" s="44" t="s">
        <v>65</v>
      </c>
      <c r="D27" s="44" t="s">
        <v>72</v>
      </c>
      <c r="E27" s="117" t="s">
        <v>64</v>
      </c>
      <c r="F27" s="117"/>
      <c r="G27" s="45" t="s">
        <v>8</v>
      </c>
      <c r="H27" s="46">
        <f>((50+86+86)*3*2)+(20*3)+50+30+6.6+6.6+90</f>
        <v>1575.1999999999998</v>
      </c>
      <c r="I27" s="47">
        <v>11.78</v>
      </c>
      <c r="J27" s="45">
        <v>1.25</v>
      </c>
      <c r="K27" s="78">
        <f t="shared" si="3"/>
        <v>14.725</v>
      </c>
      <c r="L27" s="48">
        <f>(M27/M61)*100</f>
        <v>6.6209009744075082</v>
      </c>
      <c r="M27" s="79">
        <f t="shared" si="4"/>
        <v>23194.819999999996</v>
      </c>
    </row>
    <row r="28" spans="1:13" s="19" customFormat="1" ht="63" customHeight="1" x14ac:dyDescent="0.25">
      <c r="A28" s="44" t="s">
        <v>149</v>
      </c>
      <c r="B28" s="44" t="s">
        <v>56</v>
      </c>
      <c r="C28" s="44" t="s">
        <v>102</v>
      </c>
      <c r="D28" s="44" t="s">
        <v>72</v>
      </c>
      <c r="E28" s="117" t="s">
        <v>235</v>
      </c>
      <c r="F28" s="117"/>
      <c r="G28" s="45" t="s">
        <v>8</v>
      </c>
      <c r="H28" s="46">
        <f>(((((50+86+86)*2)+20+30+15+4)*0.05)*3)+3.05+4</f>
        <v>84</v>
      </c>
      <c r="I28" s="47">
        <v>25.38</v>
      </c>
      <c r="J28" s="45">
        <v>1.25</v>
      </c>
      <c r="K28" s="78">
        <f t="shared" si="3"/>
        <v>31.724999999999998</v>
      </c>
      <c r="L28" s="48">
        <f>(M28/M61)*100</f>
        <v>0.76068876614255121</v>
      </c>
      <c r="M28" s="79">
        <f t="shared" si="4"/>
        <v>2664.8999999999996</v>
      </c>
    </row>
    <row r="29" spans="1:13" s="19" customFormat="1" ht="45.5" customHeight="1" x14ac:dyDescent="0.25">
      <c r="A29" s="44" t="s">
        <v>150</v>
      </c>
      <c r="B29" s="44" t="s">
        <v>71</v>
      </c>
      <c r="C29" s="44">
        <v>97624</v>
      </c>
      <c r="D29" s="44" t="s">
        <v>72</v>
      </c>
      <c r="E29" s="117" t="s">
        <v>216</v>
      </c>
      <c r="F29" s="117"/>
      <c r="G29" s="45" t="s">
        <v>63</v>
      </c>
      <c r="H29" s="46">
        <f>0.15*1.5*1</f>
        <v>0.22499999999999998</v>
      </c>
      <c r="I29" s="47">
        <v>78</v>
      </c>
      <c r="J29" s="45">
        <v>1.25</v>
      </c>
      <c r="K29" s="78">
        <f t="shared" si="3"/>
        <v>97.5</v>
      </c>
      <c r="L29" s="48">
        <f>(M29/M61)*100</f>
        <v>6.262002254212997E-3</v>
      </c>
      <c r="M29" s="79">
        <f t="shared" si="4"/>
        <v>21.937499999999996</v>
      </c>
    </row>
    <row r="30" spans="1:13" s="19" customFormat="1" ht="46" customHeight="1" x14ac:dyDescent="0.25">
      <c r="A30" s="44" t="s">
        <v>151</v>
      </c>
      <c r="B30" s="44" t="s">
        <v>56</v>
      </c>
      <c r="C30" s="44" t="s">
        <v>110</v>
      </c>
      <c r="D30" s="76" t="s">
        <v>72</v>
      </c>
      <c r="E30" s="117" t="s">
        <v>239</v>
      </c>
      <c r="F30" s="117"/>
      <c r="G30" s="45" t="s">
        <v>77</v>
      </c>
      <c r="H30" s="46">
        <f>7.93+27.91+3.75+2</f>
        <v>41.59</v>
      </c>
      <c r="I30" s="47">
        <v>327.32</v>
      </c>
      <c r="J30" s="45">
        <v>1.25</v>
      </c>
      <c r="K30" s="78">
        <f t="shared" si="3"/>
        <v>409.15</v>
      </c>
      <c r="L30" s="48">
        <f>(M30/M61)*100</f>
        <v>4.8573294616945786</v>
      </c>
      <c r="M30" s="79">
        <f t="shared" si="4"/>
        <v>17016.548500000001</v>
      </c>
    </row>
    <row r="31" spans="1:13" s="19" customFormat="1" ht="62" customHeight="1" x14ac:dyDescent="0.25">
      <c r="A31" s="44" t="s">
        <v>152</v>
      </c>
      <c r="B31" s="44" t="s">
        <v>71</v>
      </c>
      <c r="C31" s="44">
        <v>87242</v>
      </c>
      <c r="D31" s="76" t="s">
        <v>72</v>
      </c>
      <c r="E31" s="117" t="s">
        <v>217</v>
      </c>
      <c r="F31" s="117"/>
      <c r="G31" s="45" t="s">
        <v>8</v>
      </c>
      <c r="H31" s="46">
        <v>42.546499999999995</v>
      </c>
      <c r="I31" s="47">
        <v>180.01</v>
      </c>
      <c r="J31" s="45">
        <v>1.25</v>
      </c>
      <c r="K31" s="78">
        <f t="shared" si="3"/>
        <v>225.01249999999999</v>
      </c>
      <c r="L31" s="48">
        <f>(M31/M61)*100</f>
        <v>2.7327290294237199</v>
      </c>
      <c r="M31" s="79">
        <f t="shared" si="4"/>
        <v>9573.4943312499981</v>
      </c>
    </row>
    <row r="32" spans="1:13" s="19" customFormat="1" ht="61.5" customHeight="1" x14ac:dyDescent="0.25">
      <c r="A32" s="44" t="s">
        <v>153</v>
      </c>
      <c r="B32" s="44" t="s">
        <v>56</v>
      </c>
      <c r="C32" s="44" t="s">
        <v>108</v>
      </c>
      <c r="D32" s="76" t="s">
        <v>72</v>
      </c>
      <c r="E32" s="118" t="s">
        <v>218</v>
      </c>
      <c r="F32" s="119"/>
      <c r="G32" s="45" t="s">
        <v>77</v>
      </c>
      <c r="H32" s="46">
        <f>86+86+50+50-27-7-3-2+30+4</f>
        <v>267</v>
      </c>
      <c r="I32" s="47">
        <v>28.6</v>
      </c>
      <c r="J32" s="45">
        <v>1.25</v>
      </c>
      <c r="K32" s="78">
        <f t="shared" si="3"/>
        <v>35.75</v>
      </c>
      <c r="L32" s="48">
        <f>(M32/M61)*100</f>
        <v>2.7246667586108999</v>
      </c>
      <c r="M32" s="79">
        <f t="shared" si="4"/>
        <v>9545.25</v>
      </c>
    </row>
    <row r="33" spans="1:13" s="19" customFormat="1" ht="79.5" customHeight="1" x14ac:dyDescent="0.25">
      <c r="A33" s="44" t="s">
        <v>154</v>
      </c>
      <c r="B33" s="44" t="s">
        <v>56</v>
      </c>
      <c r="C33" s="44" t="s">
        <v>121</v>
      </c>
      <c r="D33" s="76" t="s">
        <v>72</v>
      </c>
      <c r="E33" s="118" t="s">
        <v>219</v>
      </c>
      <c r="F33" s="119"/>
      <c r="G33" s="45" t="s">
        <v>8</v>
      </c>
      <c r="H33" s="46">
        <v>38.380000000000003</v>
      </c>
      <c r="I33" s="47">
        <v>37.840000000000003</v>
      </c>
      <c r="J33" s="45">
        <v>1.25</v>
      </c>
      <c r="K33" s="78">
        <f t="shared" ref="K33" si="5">I33*J33</f>
        <v>47.300000000000004</v>
      </c>
      <c r="L33" s="48">
        <f>(M33/M61)*100</f>
        <v>0.51819378143542649</v>
      </c>
      <c r="M33" s="79">
        <f t="shared" ref="M33" si="6">K33*H33</f>
        <v>1815.3740000000003</v>
      </c>
    </row>
    <row r="34" spans="1:13" s="19" customFormat="1" ht="76.5" customHeight="1" x14ac:dyDescent="0.25">
      <c r="A34" s="44" t="s">
        <v>155</v>
      </c>
      <c r="B34" s="44" t="s">
        <v>56</v>
      </c>
      <c r="C34" s="44" t="s">
        <v>122</v>
      </c>
      <c r="D34" s="76" t="s">
        <v>72</v>
      </c>
      <c r="E34" s="118" t="s">
        <v>220</v>
      </c>
      <c r="F34" s="119"/>
      <c r="G34" s="45" t="s">
        <v>63</v>
      </c>
      <c r="H34" s="46">
        <f>((29.81+3.75)*0.15*0.25)</f>
        <v>1.2585</v>
      </c>
      <c r="I34" s="47">
        <v>1705.13</v>
      </c>
      <c r="J34" s="45">
        <v>1.25</v>
      </c>
      <c r="K34" s="78">
        <f t="shared" ref="K34" si="7">I34*J34</f>
        <v>2131.4125000000004</v>
      </c>
      <c r="L34" s="48">
        <f>(M34/M61)*100</f>
        <v>0.76567913771164886</v>
      </c>
      <c r="M34" s="79">
        <f t="shared" ref="M34" si="8">K34*H34</f>
        <v>2682.3826312500005</v>
      </c>
    </row>
    <row r="35" spans="1:13" s="19" customFormat="1" ht="62" customHeight="1" x14ac:dyDescent="0.25">
      <c r="A35" s="44" t="s">
        <v>156</v>
      </c>
      <c r="B35" s="44" t="s">
        <v>56</v>
      </c>
      <c r="C35" s="44" t="s">
        <v>123</v>
      </c>
      <c r="D35" s="76" t="s">
        <v>72</v>
      </c>
      <c r="E35" s="118" t="s">
        <v>221</v>
      </c>
      <c r="F35" s="119"/>
      <c r="G35" s="45" t="s">
        <v>63</v>
      </c>
      <c r="H35" s="46">
        <f>(1.5*11*0.15*0.25)</f>
        <v>0.61875000000000002</v>
      </c>
      <c r="I35" s="47">
        <v>2504.52</v>
      </c>
      <c r="J35" s="45">
        <v>1.25</v>
      </c>
      <c r="K35" s="78">
        <f t="shared" ref="K35" si="9">I35*J35</f>
        <v>3130.65</v>
      </c>
      <c r="L35" s="48">
        <f>(M35/M61)*100</f>
        <v>0.55293720750941322</v>
      </c>
      <c r="M35" s="79">
        <f t="shared" ref="M35" si="10">K35*H35</f>
        <v>1937.0896875000001</v>
      </c>
    </row>
    <row r="36" spans="1:13" s="19" customFormat="1" ht="103.5" customHeight="1" x14ac:dyDescent="0.25">
      <c r="A36" s="44" t="s">
        <v>157</v>
      </c>
      <c r="B36" s="44" t="s">
        <v>56</v>
      </c>
      <c r="C36" s="44" t="s">
        <v>107</v>
      </c>
      <c r="D36" s="76" t="s">
        <v>72</v>
      </c>
      <c r="E36" s="118" t="s">
        <v>207</v>
      </c>
      <c r="F36" s="119"/>
      <c r="G36" s="45" t="s">
        <v>77</v>
      </c>
      <c r="H36" s="46">
        <v>7.93</v>
      </c>
      <c r="I36" s="47">
        <v>332.12</v>
      </c>
      <c r="J36" s="45">
        <v>1.25</v>
      </c>
      <c r="K36" s="78">
        <f t="shared" si="3"/>
        <v>415.15</v>
      </c>
      <c r="L36" s="48">
        <f>(M36/M61)*100</f>
        <v>0.93973264821349978</v>
      </c>
      <c r="M36" s="79">
        <f t="shared" si="4"/>
        <v>3292.1394999999998</v>
      </c>
    </row>
    <row r="37" spans="1:13" s="19" customFormat="1" ht="20" customHeight="1" x14ac:dyDescent="0.25">
      <c r="A37" s="41">
        <v>3</v>
      </c>
      <c r="B37" s="41"/>
      <c r="C37" s="41"/>
      <c r="D37" s="41"/>
      <c r="E37" s="152" t="s">
        <v>74</v>
      </c>
      <c r="F37" s="152"/>
      <c r="G37" s="32"/>
      <c r="H37" s="32"/>
      <c r="I37" s="33"/>
      <c r="J37" s="32"/>
      <c r="K37" s="33"/>
      <c r="L37" s="34">
        <f>(M37/M61)*100</f>
        <v>54.823213293428616</v>
      </c>
      <c r="M37" s="42">
        <f>SUM(M38:M59)</f>
        <v>192060.65293499999</v>
      </c>
    </row>
    <row r="38" spans="1:13" s="19" customFormat="1" ht="47" customHeight="1" x14ac:dyDescent="0.25">
      <c r="A38" s="44" t="s">
        <v>158</v>
      </c>
      <c r="B38" s="44" t="s">
        <v>56</v>
      </c>
      <c r="C38" s="44" t="s">
        <v>70</v>
      </c>
      <c r="D38" s="44" t="s">
        <v>72</v>
      </c>
      <c r="E38" s="117" t="s">
        <v>222</v>
      </c>
      <c r="F38" s="117"/>
      <c r="G38" s="45" t="s">
        <v>8</v>
      </c>
      <c r="H38" s="46">
        <v>360</v>
      </c>
      <c r="I38" s="47">
        <v>55.66</v>
      </c>
      <c r="J38" s="45">
        <v>1.25</v>
      </c>
      <c r="K38" s="78">
        <f t="shared" ref="K38:K59" si="11">I38*J38</f>
        <v>69.574999999999989</v>
      </c>
      <c r="L38" s="48">
        <f>(M38/M61)*100</f>
        <v>7.1496009327075987</v>
      </c>
      <c r="M38" s="79">
        <f t="shared" ref="M38:M59" si="12">K38*H38</f>
        <v>25046.999999999996</v>
      </c>
    </row>
    <row r="39" spans="1:13" s="19" customFormat="1" ht="48.5" customHeight="1" x14ac:dyDescent="0.25">
      <c r="A39" s="44" t="s">
        <v>159</v>
      </c>
      <c r="B39" s="44" t="s">
        <v>71</v>
      </c>
      <c r="C39" s="44">
        <v>101091</v>
      </c>
      <c r="D39" s="44" t="s">
        <v>72</v>
      </c>
      <c r="E39" s="117" t="s">
        <v>208</v>
      </c>
      <c r="F39" s="117"/>
      <c r="G39" s="45" t="s">
        <v>8</v>
      </c>
      <c r="H39" s="46">
        <f>424.12-21.17-16.36+(13.5*0.2)+0.71</f>
        <v>389.99999999999994</v>
      </c>
      <c r="I39" s="47">
        <v>101.41</v>
      </c>
      <c r="J39" s="45">
        <v>1.25</v>
      </c>
      <c r="K39" s="78">
        <f t="shared" si="11"/>
        <v>126.76249999999999</v>
      </c>
      <c r="L39" s="48">
        <f>(M39/M61)*100</f>
        <v>14.111769968883111</v>
      </c>
      <c r="M39" s="79">
        <f t="shared" si="12"/>
        <v>49437.374999999985</v>
      </c>
    </row>
    <row r="40" spans="1:13" s="19" customFormat="1" ht="52" customHeight="1" x14ac:dyDescent="0.25">
      <c r="A40" s="44" t="s">
        <v>160</v>
      </c>
      <c r="B40" s="44" t="s">
        <v>56</v>
      </c>
      <c r="C40" s="44" t="s">
        <v>103</v>
      </c>
      <c r="D40" s="44" t="s">
        <v>72</v>
      </c>
      <c r="E40" s="117" t="s">
        <v>223</v>
      </c>
      <c r="F40" s="117"/>
      <c r="G40" s="45" t="s">
        <v>8</v>
      </c>
      <c r="H40" s="46">
        <f>((50+86+86)*0.2)*2</f>
        <v>88.800000000000011</v>
      </c>
      <c r="I40" s="47">
        <v>15.58</v>
      </c>
      <c r="J40" s="45">
        <v>1.25</v>
      </c>
      <c r="K40" s="78">
        <f t="shared" si="11"/>
        <v>19.475000000000001</v>
      </c>
      <c r="L40" s="48">
        <f>(M40/M61)*100</f>
        <v>0.49364701804630778</v>
      </c>
      <c r="M40" s="79">
        <f t="shared" si="12"/>
        <v>1729.3800000000003</v>
      </c>
    </row>
    <row r="41" spans="1:13" s="19" customFormat="1" ht="58.5" customHeight="1" x14ac:dyDescent="0.25">
      <c r="A41" s="44" t="s">
        <v>161</v>
      </c>
      <c r="B41" s="44" t="s">
        <v>56</v>
      </c>
      <c r="C41" s="44" t="s">
        <v>102</v>
      </c>
      <c r="D41" s="44" t="s">
        <v>72</v>
      </c>
      <c r="E41" s="117" t="s">
        <v>224</v>
      </c>
      <c r="F41" s="117"/>
      <c r="G41" s="45" t="s">
        <v>8</v>
      </c>
      <c r="H41" s="46">
        <f>((50+86+86)*0.2)*2</f>
        <v>88.800000000000011</v>
      </c>
      <c r="I41" s="47">
        <v>25.38</v>
      </c>
      <c r="J41" s="45">
        <v>1.25</v>
      </c>
      <c r="K41" s="78">
        <f t="shared" si="11"/>
        <v>31.724999999999998</v>
      </c>
      <c r="L41" s="48">
        <f>(M41/M61)*100</f>
        <v>0.80415669563641146</v>
      </c>
      <c r="M41" s="79">
        <f t="shared" si="12"/>
        <v>2817.1800000000003</v>
      </c>
    </row>
    <row r="42" spans="1:13" s="19" customFormat="1" ht="54.5" customHeight="1" x14ac:dyDescent="0.25">
      <c r="A42" s="44" t="s">
        <v>162</v>
      </c>
      <c r="B42" s="44" t="s">
        <v>56</v>
      </c>
      <c r="C42" s="44" t="s">
        <v>69</v>
      </c>
      <c r="D42" s="44" t="s">
        <v>72</v>
      </c>
      <c r="E42" s="117" t="s">
        <v>230</v>
      </c>
      <c r="F42" s="117"/>
      <c r="G42" s="45" t="s">
        <v>8</v>
      </c>
      <c r="H42" s="46">
        <f>(24*1.8)+2.5+6+7+1.3</f>
        <v>60</v>
      </c>
      <c r="I42" s="47">
        <v>13.66</v>
      </c>
      <c r="J42" s="45">
        <v>1.25</v>
      </c>
      <c r="K42" s="78">
        <f t="shared" si="11"/>
        <v>17.074999999999999</v>
      </c>
      <c r="L42" s="48">
        <f>(M42/M61)*100</f>
        <v>0.29244085741042586</v>
      </c>
      <c r="M42" s="79">
        <f t="shared" si="12"/>
        <v>1024.5</v>
      </c>
    </row>
    <row r="43" spans="1:13" s="19" customFormat="1" ht="30" customHeight="1" x14ac:dyDescent="0.25">
      <c r="A43" s="44" t="s">
        <v>163</v>
      </c>
      <c r="B43" s="44" t="s">
        <v>56</v>
      </c>
      <c r="C43" s="44" t="s">
        <v>76</v>
      </c>
      <c r="D43" s="44" t="s">
        <v>72</v>
      </c>
      <c r="E43" s="117" t="s">
        <v>75</v>
      </c>
      <c r="F43" s="117"/>
      <c r="G43" s="45" t="s">
        <v>77</v>
      </c>
      <c r="H43" s="46">
        <v>15</v>
      </c>
      <c r="I43" s="47">
        <v>22.39</v>
      </c>
      <c r="J43" s="45">
        <v>1.25</v>
      </c>
      <c r="K43" s="78">
        <f t="shared" si="11"/>
        <v>27.987500000000001</v>
      </c>
      <c r="L43" s="48">
        <f>(M43/M61)*100</f>
        <v>0.1198343850186573</v>
      </c>
      <c r="M43" s="79">
        <f t="shared" si="12"/>
        <v>419.8125</v>
      </c>
    </row>
    <row r="44" spans="1:13" s="19" customFormat="1" ht="30" customHeight="1" x14ac:dyDescent="0.25">
      <c r="A44" s="44" t="s">
        <v>164</v>
      </c>
      <c r="B44" s="44" t="s">
        <v>56</v>
      </c>
      <c r="C44" s="44" t="s">
        <v>232</v>
      </c>
      <c r="D44" s="44" t="s">
        <v>72</v>
      </c>
      <c r="E44" s="117" t="s">
        <v>231</v>
      </c>
      <c r="F44" s="117"/>
      <c r="G44" s="45" t="s">
        <v>77</v>
      </c>
      <c r="H44" s="46">
        <v>75</v>
      </c>
      <c r="I44" s="47">
        <v>45.62</v>
      </c>
      <c r="J44" s="45">
        <v>1.25</v>
      </c>
      <c r="K44" s="78">
        <f t="shared" ref="K44" si="13">I44*J44</f>
        <v>57.024999999999999</v>
      </c>
      <c r="L44" s="48">
        <f>(M44/M61)*100</f>
        <v>1.2208228326375941</v>
      </c>
      <c r="M44" s="79">
        <f t="shared" ref="M44" si="14">K44*H44</f>
        <v>4276.875</v>
      </c>
    </row>
    <row r="45" spans="1:13" s="19" customFormat="1" ht="64.5" customHeight="1" x14ac:dyDescent="0.25">
      <c r="A45" s="44" t="s">
        <v>165</v>
      </c>
      <c r="B45" s="44" t="s">
        <v>71</v>
      </c>
      <c r="C45" s="44">
        <v>94273</v>
      </c>
      <c r="D45" s="44" t="s">
        <v>72</v>
      </c>
      <c r="E45" s="117" t="s">
        <v>78</v>
      </c>
      <c r="F45" s="117"/>
      <c r="G45" s="45" t="s">
        <v>77</v>
      </c>
      <c r="H45" s="46">
        <v>70</v>
      </c>
      <c r="I45" s="47">
        <v>38.46</v>
      </c>
      <c r="J45" s="45">
        <v>1.25</v>
      </c>
      <c r="K45" s="78">
        <f t="shared" si="11"/>
        <v>48.075000000000003</v>
      </c>
      <c r="L45" s="48">
        <f>(M45/M61)*100</f>
        <v>0.96060185007363164</v>
      </c>
      <c r="M45" s="79">
        <f t="shared" si="12"/>
        <v>3365.25</v>
      </c>
    </row>
    <row r="46" spans="1:13" s="19" customFormat="1" ht="47" customHeight="1" x14ac:dyDescent="0.25">
      <c r="A46" s="44" t="s">
        <v>166</v>
      </c>
      <c r="B46" s="44" t="s">
        <v>56</v>
      </c>
      <c r="C46" s="44" t="s">
        <v>109</v>
      </c>
      <c r="D46" s="44" t="s">
        <v>72</v>
      </c>
      <c r="E46" s="117" t="s">
        <v>225</v>
      </c>
      <c r="F46" s="117"/>
      <c r="G46" s="45" t="s">
        <v>8</v>
      </c>
      <c r="H46" s="46">
        <v>37</v>
      </c>
      <c r="I46" s="47">
        <v>14.32</v>
      </c>
      <c r="J46" s="45">
        <v>1.25</v>
      </c>
      <c r="K46" s="78">
        <f t="shared" si="11"/>
        <v>17.899999999999999</v>
      </c>
      <c r="L46" s="48">
        <f>(M46/M61)*100</f>
        <v>0.18905181050553932</v>
      </c>
      <c r="M46" s="79">
        <f t="shared" si="12"/>
        <v>662.3</v>
      </c>
    </row>
    <row r="47" spans="1:13" s="19" customFormat="1" ht="90.5" customHeight="1" x14ac:dyDescent="0.25">
      <c r="A47" s="44" t="s">
        <v>167</v>
      </c>
      <c r="B47" s="44" t="s">
        <v>56</v>
      </c>
      <c r="C47" s="44" t="s">
        <v>104</v>
      </c>
      <c r="D47" s="44" t="s">
        <v>72</v>
      </c>
      <c r="E47" s="117" t="s">
        <v>226</v>
      </c>
      <c r="F47" s="117"/>
      <c r="G47" s="45" t="s">
        <v>8</v>
      </c>
      <c r="H47" s="46">
        <f>19.5+9.3</f>
        <v>28.8</v>
      </c>
      <c r="I47" s="47">
        <v>57.08</v>
      </c>
      <c r="J47" s="45">
        <v>1.25</v>
      </c>
      <c r="K47" s="78">
        <f t="shared" si="11"/>
        <v>71.349999999999994</v>
      </c>
      <c r="L47" s="48">
        <f>(M47/M61)*100</f>
        <v>0.58656014551052793</v>
      </c>
      <c r="M47" s="79">
        <f t="shared" si="12"/>
        <v>2054.88</v>
      </c>
    </row>
    <row r="48" spans="1:13" s="19" customFormat="1" ht="62.5" customHeight="1" x14ac:dyDescent="0.25">
      <c r="A48" s="44" t="s">
        <v>168</v>
      </c>
      <c r="B48" s="44" t="s">
        <v>56</v>
      </c>
      <c r="C48" s="44" t="s">
        <v>105</v>
      </c>
      <c r="D48" s="44" t="s">
        <v>72</v>
      </c>
      <c r="E48" s="117" t="s">
        <v>124</v>
      </c>
      <c r="F48" s="117"/>
      <c r="G48" s="45" t="s">
        <v>77</v>
      </c>
      <c r="H48" s="46">
        <f>4.3+4.3+4.5+4.5-2-2.9+1.1+0.9+23+5-0.8+0.6+0.5</f>
        <v>43.000000000000007</v>
      </c>
      <c r="I48" s="47">
        <v>29.04</v>
      </c>
      <c r="J48" s="45">
        <v>1.25</v>
      </c>
      <c r="K48" s="78">
        <f t="shared" si="11"/>
        <v>36.299999999999997</v>
      </c>
      <c r="L48" s="48">
        <f>(M48/M61)*100</f>
        <v>0.44555484073395191</v>
      </c>
      <c r="M48" s="79">
        <f t="shared" si="12"/>
        <v>1560.9</v>
      </c>
    </row>
    <row r="49" spans="1:13" s="19" customFormat="1" ht="34" customHeight="1" x14ac:dyDescent="0.25">
      <c r="A49" s="44" t="s">
        <v>169</v>
      </c>
      <c r="B49" s="44" t="s">
        <v>56</v>
      </c>
      <c r="C49" s="44" t="s">
        <v>106</v>
      </c>
      <c r="D49" s="44" t="s">
        <v>72</v>
      </c>
      <c r="E49" s="117" t="s">
        <v>227</v>
      </c>
      <c r="F49" s="117"/>
      <c r="G49" s="45" t="s">
        <v>8</v>
      </c>
      <c r="H49" s="46">
        <f>(4.9*0.2)+(0.8*0.15)+(0.8*0.15)</f>
        <v>1.2200000000000002</v>
      </c>
      <c r="I49" s="47">
        <v>211.48</v>
      </c>
      <c r="J49" s="45">
        <v>1.25</v>
      </c>
      <c r="K49" s="78">
        <f t="shared" si="11"/>
        <v>264.34999999999997</v>
      </c>
      <c r="L49" s="48">
        <f>(M49/M61)*100</f>
        <v>9.2058783407383313E-2</v>
      </c>
      <c r="M49" s="79">
        <f t="shared" si="12"/>
        <v>322.50700000000001</v>
      </c>
    </row>
    <row r="50" spans="1:13" s="49" customFormat="1" ht="42.5" customHeight="1" x14ac:dyDescent="0.25">
      <c r="A50" s="44" t="s">
        <v>170</v>
      </c>
      <c r="B50" s="44" t="s">
        <v>56</v>
      </c>
      <c r="C50" s="44" t="s">
        <v>125</v>
      </c>
      <c r="D50" s="44" t="s">
        <v>72</v>
      </c>
      <c r="E50" s="117" t="s">
        <v>228</v>
      </c>
      <c r="F50" s="117"/>
      <c r="G50" s="45" t="s">
        <v>8</v>
      </c>
      <c r="H50" s="46">
        <v>4.8</v>
      </c>
      <c r="I50" s="47">
        <v>45.41</v>
      </c>
      <c r="J50" s="45">
        <v>1.25</v>
      </c>
      <c r="K50" s="78">
        <f t="shared" ref="K50" si="15">I50*J50</f>
        <v>56.762499999999996</v>
      </c>
      <c r="L50" s="48">
        <f>(M50/M61)*100</f>
        <v>7.7772997569589664E-2</v>
      </c>
      <c r="M50" s="79">
        <f t="shared" ref="M50" si="16">K50*H50</f>
        <v>272.45999999999998</v>
      </c>
    </row>
    <row r="51" spans="1:13" s="49" customFormat="1" ht="42.5" customHeight="1" x14ac:dyDescent="0.25">
      <c r="A51" s="44" t="s">
        <v>171</v>
      </c>
      <c r="B51" s="44" t="s">
        <v>56</v>
      </c>
      <c r="C51" s="44" t="s">
        <v>126</v>
      </c>
      <c r="D51" s="44" t="s">
        <v>72</v>
      </c>
      <c r="E51" s="117" t="s">
        <v>229</v>
      </c>
      <c r="F51" s="117"/>
      <c r="G51" s="45" t="s">
        <v>8</v>
      </c>
      <c r="H51" s="46">
        <v>4.5</v>
      </c>
      <c r="I51" s="47">
        <v>27.74</v>
      </c>
      <c r="J51" s="45">
        <v>1.25</v>
      </c>
      <c r="K51" s="78">
        <f t="shared" ref="K51" si="17">I51*J51</f>
        <v>34.674999999999997</v>
      </c>
      <c r="L51" s="48">
        <f>(M51/M61)*100</f>
        <v>4.4540498085094506E-2</v>
      </c>
      <c r="M51" s="79">
        <f t="shared" ref="M51" si="18">K51*H51</f>
        <v>156.03749999999999</v>
      </c>
    </row>
    <row r="52" spans="1:13" s="19" customFormat="1" ht="42.5" customHeight="1" x14ac:dyDescent="0.25">
      <c r="A52" s="44" t="s">
        <v>172</v>
      </c>
      <c r="B52" s="44" t="s">
        <v>56</v>
      </c>
      <c r="C52" s="44" t="s">
        <v>70</v>
      </c>
      <c r="D52" s="44" t="s">
        <v>72</v>
      </c>
      <c r="E52" s="117" t="s">
        <v>209</v>
      </c>
      <c r="F52" s="117"/>
      <c r="G52" s="45" t="s">
        <v>8</v>
      </c>
      <c r="H52" s="46">
        <f>89.24+15.86+42+6+5+1.9</f>
        <v>160</v>
      </c>
      <c r="I52" s="47">
        <v>55.66</v>
      </c>
      <c r="J52" s="45">
        <v>1.25</v>
      </c>
      <c r="K52" s="78">
        <f t="shared" si="11"/>
        <v>69.574999999999989</v>
      </c>
      <c r="L52" s="48">
        <f>(M52/M61)*100</f>
        <v>3.1776004145367103</v>
      </c>
      <c r="M52" s="79">
        <f t="shared" si="12"/>
        <v>11131.999999999998</v>
      </c>
    </row>
    <row r="53" spans="1:13" s="19" customFormat="1" ht="64.5" customHeight="1" x14ac:dyDescent="0.25">
      <c r="A53" s="44" t="s">
        <v>173</v>
      </c>
      <c r="B53" s="44" t="s">
        <v>71</v>
      </c>
      <c r="C53" s="44">
        <v>101091</v>
      </c>
      <c r="D53" s="44" t="s">
        <v>72</v>
      </c>
      <c r="E53" s="117" t="s">
        <v>234</v>
      </c>
      <c r="F53" s="117"/>
      <c r="G53" s="45" t="s">
        <v>8</v>
      </c>
      <c r="H53" s="46">
        <f>147+40+1.3+1+3.3+3+2.4</f>
        <v>198.00000000000003</v>
      </c>
      <c r="I53" s="47">
        <v>101.41</v>
      </c>
      <c r="J53" s="45">
        <v>1.25</v>
      </c>
      <c r="K53" s="78">
        <f t="shared" si="11"/>
        <v>126.76249999999999</v>
      </c>
      <c r="L53" s="48">
        <f>(M53/M61)*100</f>
        <v>7.1644370611252741</v>
      </c>
      <c r="M53" s="79">
        <f t="shared" si="12"/>
        <v>25098.975000000002</v>
      </c>
    </row>
    <row r="54" spans="1:13" s="19" customFormat="1" ht="65" customHeight="1" x14ac:dyDescent="0.25">
      <c r="A54" s="44" t="s">
        <v>174</v>
      </c>
      <c r="B54" s="44" t="s">
        <v>205</v>
      </c>
      <c r="C54" s="44" t="s">
        <v>205</v>
      </c>
      <c r="D54" s="44" t="s">
        <v>72</v>
      </c>
      <c r="E54" s="117" t="s">
        <v>210</v>
      </c>
      <c r="F54" s="117"/>
      <c r="G54" s="45" t="s">
        <v>80</v>
      </c>
      <c r="H54" s="46">
        <v>9</v>
      </c>
      <c r="I54" s="47">
        <f>230.7*1.2</f>
        <v>276.83999999999997</v>
      </c>
      <c r="J54" s="45">
        <v>1.25</v>
      </c>
      <c r="K54" s="78">
        <f t="shared" ref="K54" si="19">I54*J54</f>
        <v>346.04999999999995</v>
      </c>
      <c r="L54" s="48">
        <f>(M54/M61)*100</f>
        <v>0.88901164310580838</v>
      </c>
      <c r="M54" s="79">
        <f t="shared" ref="M54" si="20">K54*H54</f>
        <v>3114.45</v>
      </c>
    </row>
    <row r="55" spans="1:13" s="19" customFormat="1" ht="42.5" customHeight="1" x14ac:dyDescent="0.25">
      <c r="A55" s="44" t="s">
        <v>175</v>
      </c>
      <c r="B55" s="44" t="s">
        <v>56</v>
      </c>
      <c r="C55" s="44" t="s">
        <v>70</v>
      </c>
      <c r="D55" s="44" t="s">
        <v>72</v>
      </c>
      <c r="E55" s="117" t="s">
        <v>100</v>
      </c>
      <c r="F55" s="117"/>
      <c r="G55" s="45" t="s">
        <v>8</v>
      </c>
      <c r="H55" s="46">
        <f>46.2+347.8</f>
        <v>394</v>
      </c>
      <c r="I55" s="47">
        <v>55.66</v>
      </c>
      <c r="J55" s="45">
        <v>1.25</v>
      </c>
      <c r="K55" s="78">
        <f t="shared" si="11"/>
        <v>69.574999999999989</v>
      </c>
      <c r="L55" s="48">
        <f>(M55/M61)*100</f>
        <v>7.8248410207966499</v>
      </c>
      <c r="M55" s="79">
        <f t="shared" si="12"/>
        <v>27412.549999999996</v>
      </c>
    </row>
    <row r="56" spans="1:13" s="19" customFormat="1" ht="55.5" customHeight="1" x14ac:dyDescent="0.25">
      <c r="A56" s="44" t="s">
        <v>176</v>
      </c>
      <c r="B56" s="44" t="s">
        <v>205</v>
      </c>
      <c r="C56" s="44" t="s">
        <v>205</v>
      </c>
      <c r="D56" s="44" t="s">
        <v>72</v>
      </c>
      <c r="E56" s="117" t="s">
        <v>236</v>
      </c>
      <c r="F56" s="117"/>
      <c r="G56" s="45" t="s">
        <v>80</v>
      </c>
      <c r="H56" s="46">
        <f>10+61+12</f>
        <v>83</v>
      </c>
      <c r="I56" s="47">
        <v>276.83999999999997</v>
      </c>
      <c r="J56" s="45">
        <v>1.25</v>
      </c>
      <c r="K56" s="78">
        <f t="shared" si="11"/>
        <v>346.04999999999995</v>
      </c>
      <c r="L56" s="48">
        <f>(M56/M61)*100</f>
        <v>8.1986629308646766</v>
      </c>
      <c r="M56" s="79">
        <f t="shared" si="12"/>
        <v>28722.149999999998</v>
      </c>
    </row>
    <row r="57" spans="1:13" s="19" customFormat="1" ht="62" customHeight="1" x14ac:dyDescent="0.25">
      <c r="A57" s="44" t="s">
        <v>177</v>
      </c>
      <c r="B57" s="44" t="s">
        <v>56</v>
      </c>
      <c r="C57" s="44" t="s">
        <v>111</v>
      </c>
      <c r="D57" s="44" t="s">
        <v>72</v>
      </c>
      <c r="E57" s="118" t="s">
        <v>238</v>
      </c>
      <c r="F57" s="119"/>
      <c r="G57" s="45" t="s">
        <v>63</v>
      </c>
      <c r="H57" s="46">
        <f>(5.24*0.1)+(5.24*0.18/2)</f>
        <v>0.99560000000000004</v>
      </c>
      <c r="I57" s="47">
        <v>2134.83</v>
      </c>
      <c r="J57" s="45">
        <v>1.25</v>
      </c>
      <c r="K57" s="78">
        <f t="shared" si="11"/>
        <v>2668.5374999999999</v>
      </c>
      <c r="L57" s="48">
        <f>(M57/M61)*100</f>
        <v>0.75837548188963788</v>
      </c>
      <c r="M57" s="79">
        <f t="shared" si="12"/>
        <v>2656.7959350000001</v>
      </c>
    </row>
    <row r="58" spans="1:13" s="19" customFormat="1" ht="34.5" customHeight="1" x14ac:dyDescent="0.25">
      <c r="A58" s="44" t="s">
        <v>178</v>
      </c>
      <c r="B58" s="44" t="s">
        <v>56</v>
      </c>
      <c r="C58" s="44" t="s">
        <v>114</v>
      </c>
      <c r="D58" s="44" t="s">
        <v>72</v>
      </c>
      <c r="E58" s="118" t="s">
        <v>237</v>
      </c>
      <c r="F58" s="119"/>
      <c r="G58" s="45" t="s">
        <v>8</v>
      </c>
      <c r="H58" s="46">
        <v>2.8</v>
      </c>
      <c r="I58" s="47">
        <v>121</v>
      </c>
      <c r="J58" s="45">
        <v>1.25</v>
      </c>
      <c r="K58" s="78">
        <f t="shared" si="11"/>
        <v>151.25</v>
      </c>
      <c r="L58" s="48">
        <f>(M58/M61)*100</f>
        <v>0.12088697229215749</v>
      </c>
      <c r="M58" s="79">
        <f t="shared" si="12"/>
        <v>423.5</v>
      </c>
    </row>
    <row r="59" spans="1:13" s="19" customFormat="1" ht="75.5" customHeight="1" x14ac:dyDescent="0.25">
      <c r="A59" s="44" t="s">
        <v>240</v>
      </c>
      <c r="B59" s="44" t="s">
        <v>56</v>
      </c>
      <c r="C59" s="44" t="s">
        <v>127</v>
      </c>
      <c r="D59" s="44" t="s">
        <v>72</v>
      </c>
      <c r="E59" s="118" t="s">
        <v>233</v>
      </c>
      <c r="F59" s="119"/>
      <c r="G59" s="45" t="s">
        <v>8</v>
      </c>
      <c r="H59" s="46">
        <v>2</v>
      </c>
      <c r="I59" s="47">
        <v>141.51</v>
      </c>
      <c r="J59" s="45">
        <v>1.25</v>
      </c>
      <c r="K59" s="78">
        <f t="shared" si="11"/>
        <v>176.88749999999999</v>
      </c>
      <c r="L59" s="48">
        <f>(M59/M61)*100</f>
        <v>0.10098415259187253</v>
      </c>
      <c r="M59" s="79">
        <f t="shared" si="12"/>
        <v>353.77499999999998</v>
      </c>
    </row>
    <row r="60" spans="1:13" ht="18" customHeight="1" x14ac:dyDescent="0.25">
      <c r="A60" s="123"/>
      <c r="B60" s="123"/>
      <c r="C60" s="123"/>
      <c r="D60" s="123"/>
      <c r="E60" s="123"/>
      <c r="F60" s="123"/>
      <c r="G60" s="123"/>
      <c r="H60" s="123"/>
      <c r="I60" s="123"/>
      <c r="J60" s="123"/>
      <c r="K60" s="123"/>
      <c r="L60" s="123"/>
      <c r="M60" s="123"/>
    </row>
    <row r="61" spans="1:13" ht="18" customHeight="1" x14ac:dyDescent="0.25">
      <c r="A61" s="124" t="s">
        <v>2</v>
      </c>
      <c r="B61" s="124"/>
      <c r="C61" s="124"/>
      <c r="D61" s="124"/>
      <c r="E61" s="124"/>
      <c r="F61" s="124"/>
      <c r="G61" s="124"/>
      <c r="H61" s="124"/>
      <c r="I61" s="124"/>
      <c r="J61" s="124"/>
      <c r="K61" s="124"/>
      <c r="L61" s="35">
        <v>100</v>
      </c>
      <c r="M61" s="104">
        <f>M8+M23+M37</f>
        <v>350327.24533499999</v>
      </c>
    </row>
    <row r="62" spans="1:13" ht="18" customHeight="1" x14ac:dyDescent="0.25">
      <c r="A62" s="122" t="s">
        <v>191</v>
      </c>
      <c r="B62" s="122"/>
      <c r="C62" s="122"/>
      <c r="D62" s="122"/>
      <c r="E62" s="122"/>
      <c r="F62" s="122"/>
      <c r="G62" s="122"/>
      <c r="H62" s="122"/>
      <c r="I62" s="122"/>
      <c r="J62" s="122"/>
      <c r="K62" s="122"/>
      <c r="L62" s="122"/>
      <c r="M62" s="122"/>
    </row>
    <row r="63" spans="1:13" ht="18" customHeight="1" x14ac:dyDescent="0.25">
      <c r="A63" s="122" t="s">
        <v>192</v>
      </c>
      <c r="B63" s="122"/>
      <c r="C63" s="122"/>
      <c r="D63" s="122"/>
      <c r="E63" s="122"/>
      <c r="F63" s="122"/>
      <c r="G63" s="122"/>
      <c r="H63" s="122"/>
      <c r="I63" s="122"/>
      <c r="J63" s="122"/>
      <c r="K63" s="122"/>
      <c r="L63" s="122"/>
      <c r="M63" s="122"/>
    </row>
    <row r="64" spans="1:13" ht="18" customHeight="1" x14ac:dyDescent="0.25">
      <c r="A64" s="122" t="s">
        <v>193</v>
      </c>
      <c r="B64" s="122"/>
      <c r="C64" s="122"/>
      <c r="D64" s="122"/>
      <c r="E64" s="122"/>
      <c r="F64" s="122"/>
      <c r="G64" s="122"/>
      <c r="H64" s="122"/>
      <c r="I64" s="122"/>
      <c r="J64" s="122"/>
      <c r="K64" s="122"/>
      <c r="L64" s="122"/>
      <c r="M64" s="122"/>
    </row>
    <row r="65" spans="1:13" ht="18" customHeight="1" x14ac:dyDescent="0.25">
      <c r="A65" s="122" t="s">
        <v>39</v>
      </c>
      <c r="B65" s="122"/>
      <c r="C65" s="122"/>
      <c r="D65" s="122"/>
      <c r="E65" s="122"/>
      <c r="F65" s="122"/>
      <c r="G65" s="122"/>
      <c r="H65" s="122"/>
      <c r="I65" s="122"/>
      <c r="J65" s="122"/>
      <c r="K65" s="122"/>
      <c r="L65" s="122"/>
      <c r="M65" s="122"/>
    </row>
    <row r="66" spans="1:13" ht="18" customHeight="1" x14ac:dyDescent="0.25">
      <c r="A66" s="122" t="s">
        <v>42</v>
      </c>
      <c r="B66" s="122"/>
      <c r="C66" s="122"/>
      <c r="D66" s="122"/>
      <c r="E66" s="122"/>
      <c r="F66" s="122"/>
      <c r="G66" s="122"/>
      <c r="H66" s="122"/>
      <c r="I66" s="122"/>
      <c r="J66" s="122"/>
      <c r="K66" s="122"/>
      <c r="L66" s="122"/>
      <c r="M66" s="122"/>
    </row>
    <row r="67" spans="1:13" ht="18" customHeight="1" x14ac:dyDescent="0.25">
      <c r="A67" s="122" t="s">
        <v>186</v>
      </c>
      <c r="B67" s="122"/>
      <c r="C67" s="122"/>
      <c r="D67" s="122"/>
      <c r="E67" s="122"/>
      <c r="F67" s="122"/>
      <c r="G67" s="122"/>
      <c r="H67" s="122"/>
      <c r="I67" s="122"/>
      <c r="J67" s="122"/>
      <c r="K67" s="122"/>
      <c r="L67" s="122"/>
      <c r="M67" s="122"/>
    </row>
    <row r="68" spans="1:13" ht="13.5" customHeight="1" x14ac:dyDescent="0.25">
      <c r="A68" s="105"/>
      <c r="B68" s="36"/>
      <c r="C68" s="36"/>
      <c r="D68" s="36"/>
      <c r="E68" s="36"/>
      <c r="F68" s="36"/>
      <c r="G68" s="36"/>
      <c r="H68" s="36"/>
      <c r="I68" s="37"/>
      <c r="J68" s="36"/>
      <c r="K68" s="37"/>
      <c r="L68" s="38"/>
      <c r="M68" s="106"/>
    </row>
    <row r="69" spans="1:13" ht="18" customHeight="1" x14ac:dyDescent="0.25">
      <c r="A69" s="107"/>
      <c r="B69" s="103"/>
      <c r="C69" s="103"/>
      <c r="D69" s="103"/>
      <c r="E69" s="12"/>
      <c r="F69" s="12"/>
      <c r="G69" s="103"/>
      <c r="H69" s="13"/>
      <c r="I69" s="29"/>
      <c r="J69" s="120" t="s">
        <v>194</v>
      </c>
      <c r="K69" s="120"/>
      <c r="L69" s="120"/>
      <c r="M69" s="121"/>
    </row>
    <row r="70" spans="1:13" ht="18" customHeight="1" x14ac:dyDescent="0.25">
      <c r="A70" s="107"/>
      <c r="M70" s="108"/>
    </row>
    <row r="71" spans="1:13" ht="18" customHeight="1" x14ac:dyDescent="0.25">
      <c r="A71" s="107"/>
      <c r="B71" s="147"/>
      <c r="C71" s="147"/>
      <c r="D71" s="147" t="s">
        <v>47</v>
      </c>
      <c r="E71" s="147"/>
      <c r="F71" s="150" t="s">
        <v>41</v>
      </c>
      <c r="G71" s="150"/>
      <c r="H71" s="150"/>
      <c r="I71" s="150"/>
      <c r="J71" s="150"/>
      <c r="K71" s="150"/>
      <c r="M71" s="108"/>
    </row>
    <row r="72" spans="1:13" ht="18" customHeight="1" x14ac:dyDescent="0.25">
      <c r="A72" s="107"/>
      <c r="B72" s="147"/>
      <c r="C72" s="147"/>
      <c r="D72" s="147" t="s">
        <v>48</v>
      </c>
      <c r="E72" s="147"/>
      <c r="F72" s="149" t="s">
        <v>40</v>
      </c>
      <c r="G72" s="149"/>
      <c r="H72" s="149"/>
      <c r="I72" s="149"/>
      <c r="J72" s="149"/>
      <c r="K72" s="149"/>
      <c r="M72" s="108"/>
    </row>
    <row r="73" spans="1:13" ht="18" customHeight="1" x14ac:dyDescent="0.25">
      <c r="A73" s="107"/>
      <c r="B73" s="148"/>
      <c r="C73" s="148"/>
      <c r="D73" s="148" t="s">
        <v>49</v>
      </c>
      <c r="E73" s="148"/>
      <c r="F73" s="151" t="s">
        <v>35</v>
      </c>
      <c r="G73" s="151"/>
      <c r="H73" s="151"/>
      <c r="I73" s="151"/>
      <c r="J73" s="151"/>
      <c r="K73" s="151"/>
      <c r="M73" s="108"/>
    </row>
    <row r="74" spans="1:13" ht="18" customHeight="1" x14ac:dyDescent="0.25">
      <c r="A74" s="107"/>
      <c r="B74" s="146"/>
      <c r="C74" s="146"/>
      <c r="D74" s="146" t="s">
        <v>50</v>
      </c>
      <c r="E74" s="146"/>
      <c r="F74" s="146" t="s">
        <v>189</v>
      </c>
      <c r="G74" s="146"/>
      <c r="H74" s="146"/>
      <c r="I74" s="146"/>
      <c r="J74" s="146"/>
      <c r="K74" s="146"/>
      <c r="L74" s="31"/>
      <c r="M74" s="109"/>
    </row>
    <row r="75" spans="1:13" ht="7" customHeight="1" x14ac:dyDescent="0.25">
      <c r="A75" s="110"/>
      <c r="B75" s="111"/>
      <c r="C75" s="111"/>
      <c r="D75" s="111"/>
      <c r="E75" s="112"/>
      <c r="F75" s="112"/>
      <c r="G75" s="111"/>
      <c r="H75" s="113"/>
      <c r="I75" s="114"/>
      <c r="J75" s="113"/>
      <c r="K75" s="114"/>
      <c r="L75" s="115"/>
      <c r="M75" s="116"/>
    </row>
  </sheetData>
  <sheetProtection selectLockedCells="1" selectUnlockedCells="1"/>
  <mergeCells count="100">
    <mergeCell ref="E54:F54"/>
    <mergeCell ref="E9:F9"/>
    <mergeCell ref="E10:F10"/>
    <mergeCell ref="E11:F11"/>
    <mergeCell ref="H5:I5"/>
    <mergeCell ref="E36:F36"/>
    <mergeCell ref="E12:F12"/>
    <mergeCell ref="E13:F13"/>
    <mergeCell ref="E24:F24"/>
    <mergeCell ref="E25:F25"/>
    <mergeCell ref="E15:F15"/>
    <mergeCell ref="E14:F14"/>
    <mergeCell ref="E17:F17"/>
    <mergeCell ref="E33:F33"/>
    <mergeCell ref="E34:F34"/>
    <mergeCell ref="E35:F35"/>
    <mergeCell ref="E8:F8"/>
    <mergeCell ref="E23:F23"/>
    <mergeCell ref="E37:F37"/>
    <mergeCell ref="E29:F29"/>
    <mergeCell ref="E28:F28"/>
    <mergeCell ref="E30:F30"/>
    <mergeCell ref="E31:F31"/>
    <mergeCell ref="E32:F32"/>
    <mergeCell ref="B74:C74"/>
    <mergeCell ref="D74:E74"/>
    <mergeCell ref="F74:K74"/>
    <mergeCell ref="B71:C71"/>
    <mergeCell ref="D71:E71"/>
    <mergeCell ref="B72:C72"/>
    <mergeCell ref="D72:E72"/>
    <mergeCell ref="B73:C73"/>
    <mergeCell ref="D73:E73"/>
    <mergeCell ref="F72:K72"/>
    <mergeCell ref="F71:K71"/>
    <mergeCell ref="F73:K73"/>
    <mergeCell ref="G6:G7"/>
    <mergeCell ref="F2:G2"/>
    <mergeCell ref="F3:G3"/>
    <mergeCell ref="F4:G4"/>
    <mergeCell ref="A1:M1"/>
    <mergeCell ref="H2:K2"/>
    <mergeCell ref="H3:K3"/>
    <mergeCell ref="H4:K4"/>
    <mergeCell ref="L2:M5"/>
    <mergeCell ref="A2:E2"/>
    <mergeCell ref="A3:E3"/>
    <mergeCell ref="A4:E4"/>
    <mergeCell ref="A5:E5"/>
    <mergeCell ref="F5:G5"/>
    <mergeCell ref="J5:K5"/>
    <mergeCell ref="H6:H7"/>
    <mergeCell ref="A60:M60"/>
    <mergeCell ref="A63:M63"/>
    <mergeCell ref="A61:K61"/>
    <mergeCell ref="A62:M62"/>
    <mergeCell ref="C6:C7"/>
    <mergeCell ref="L6:L7"/>
    <mergeCell ref="M6:M7"/>
    <mergeCell ref="D6:D7"/>
    <mergeCell ref="A6:A7"/>
    <mergeCell ref="B6:B7"/>
    <mergeCell ref="E6:F7"/>
    <mergeCell ref="J6:J7"/>
    <mergeCell ref="I6:I7"/>
    <mergeCell ref="K6:K7"/>
    <mergeCell ref="E16:F16"/>
    <mergeCell ref="E22:F22"/>
    <mergeCell ref="E51:F51"/>
    <mergeCell ref="J69:M69"/>
    <mergeCell ref="E42:F42"/>
    <mergeCell ref="E26:F26"/>
    <mergeCell ref="E27:F27"/>
    <mergeCell ref="E38:F38"/>
    <mergeCell ref="A64:M64"/>
    <mergeCell ref="A66:M66"/>
    <mergeCell ref="A67:M67"/>
    <mergeCell ref="A65:M65"/>
    <mergeCell ref="E59:F59"/>
    <mergeCell ref="E58:F58"/>
    <mergeCell ref="E52:F52"/>
    <mergeCell ref="E53:F53"/>
    <mergeCell ref="E56:F56"/>
    <mergeCell ref="E57:F57"/>
    <mergeCell ref="E44:F44"/>
    <mergeCell ref="E55:F55"/>
    <mergeCell ref="E18:F18"/>
    <mergeCell ref="E20:F20"/>
    <mergeCell ref="E21:F21"/>
    <mergeCell ref="E49:F49"/>
    <mergeCell ref="E41:F41"/>
    <mergeCell ref="E40:F40"/>
    <mergeCell ref="E47:F47"/>
    <mergeCell ref="E48:F48"/>
    <mergeCell ref="E19:F19"/>
    <mergeCell ref="E39:F39"/>
    <mergeCell ref="E43:F43"/>
    <mergeCell ref="E45:F45"/>
    <mergeCell ref="E46:F46"/>
    <mergeCell ref="E50:F50"/>
  </mergeCells>
  <phoneticPr fontId="38" type="noConversion"/>
  <printOptions horizontalCentered="1" verticalCentered="1"/>
  <pageMargins left="0.19685039370078741" right="0.19685039370078741" top="0.62685039370078743" bottom="0.19685039370078741" header="0.19685039370078741" footer="0.19685039370078741"/>
  <pageSetup scale="59" firstPageNumber="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95"/>
  <sheetViews>
    <sheetView zoomScale="90" zoomScaleNormal="90" workbookViewId="0">
      <selection sqref="A1:G3"/>
    </sheetView>
  </sheetViews>
  <sheetFormatPr defaultColWidth="11.54296875" defaultRowHeight="12.5" x14ac:dyDescent="0.25"/>
  <cols>
    <col min="1" max="1" width="29.453125" style="1" customWidth="1"/>
    <col min="2" max="7" width="7.1796875" style="1" customWidth="1"/>
    <col min="8" max="8" width="23.453125" style="1" customWidth="1"/>
    <col min="9" max="256" width="11.54296875" style="1"/>
    <col min="257" max="257" width="29.453125" style="1" customWidth="1"/>
    <col min="258" max="263" width="7.1796875" style="1" customWidth="1"/>
    <col min="264" max="264" width="23.453125" style="1" customWidth="1"/>
    <col min="265" max="512" width="11.54296875" style="1"/>
    <col min="513" max="513" width="29.453125" style="1" customWidth="1"/>
    <col min="514" max="519" width="7.1796875" style="1" customWidth="1"/>
    <col min="520" max="520" width="23.453125" style="1" customWidth="1"/>
    <col min="521" max="768" width="11.54296875" style="1"/>
    <col min="769" max="769" width="29.453125" style="1" customWidth="1"/>
    <col min="770" max="775" width="7.1796875" style="1" customWidth="1"/>
    <col min="776" max="776" width="23.453125" style="1" customWidth="1"/>
    <col min="777" max="1024" width="11.54296875" style="1"/>
    <col min="1025" max="1025" width="29.453125" style="1" customWidth="1"/>
    <col min="1026" max="1031" width="7.1796875" style="1" customWidth="1"/>
    <col min="1032" max="1032" width="23.453125" style="1" customWidth="1"/>
    <col min="1033" max="1280" width="11.54296875" style="1"/>
    <col min="1281" max="1281" width="29.453125" style="1" customWidth="1"/>
    <col min="1282" max="1287" width="7.1796875" style="1" customWidth="1"/>
    <col min="1288" max="1288" width="23.453125" style="1" customWidth="1"/>
    <col min="1289" max="1536" width="11.54296875" style="1"/>
    <col min="1537" max="1537" width="29.453125" style="1" customWidth="1"/>
    <col min="1538" max="1543" width="7.1796875" style="1" customWidth="1"/>
    <col min="1544" max="1544" width="23.453125" style="1" customWidth="1"/>
    <col min="1545" max="1792" width="11.54296875" style="1"/>
    <col min="1793" max="1793" width="29.453125" style="1" customWidth="1"/>
    <col min="1794" max="1799" width="7.1796875" style="1" customWidth="1"/>
    <col min="1800" max="1800" width="23.453125" style="1" customWidth="1"/>
    <col min="1801" max="2048" width="11.54296875" style="1"/>
    <col min="2049" max="2049" width="29.453125" style="1" customWidth="1"/>
    <col min="2050" max="2055" width="7.1796875" style="1" customWidth="1"/>
    <col min="2056" max="2056" width="23.453125" style="1" customWidth="1"/>
    <col min="2057" max="2304" width="11.54296875" style="1"/>
    <col min="2305" max="2305" width="29.453125" style="1" customWidth="1"/>
    <col min="2306" max="2311" width="7.1796875" style="1" customWidth="1"/>
    <col min="2312" max="2312" width="23.453125" style="1" customWidth="1"/>
    <col min="2313" max="2560" width="11.54296875" style="1"/>
    <col min="2561" max="2561" width="29.453125" style="1" customWidth="1"/>
    <col min="2562" max="2567" width="7.1796875" style="1" customWidth="1"/>
    <col min="2568" max="2568" width="23.453125" style="1" customWidth="1"/>
    <col min="2569" max="2816" width="11.54296875" style="1"/>
    <col min="2817" max="2817" width="29.453125" style="1" customWidth="1"/>
    <col min="2818" max="2823" width="7.1796875" style="1" customWidth="1"/>
    <col min="2824" max="2824" width="23.453125" style="1" customWidth="1"/>
    <col min="2825" max="3072" width="11.54296875" style="1"/>
    <col min="3073" max="3073" width="29.453125" style="1" customWidth="1"/>
    <col min="3074" max="3079" width="7.1796875" style="1" customWidth="1"/>
    <col min="3080" max="3080" width="23.453125" style="1" customWidth="1"/>
    <col min="3081" max="3328" width="11.54296875" style="1"/>
    <col min="3329" max="3329" width="29.453125" style="1" customWidth="1"/>
    <col min="3330" max="3335" width="7.1796875" style="1" customWidth="1"/>
    <col min="3336" max="3336" width="23.453125" style="1" customWidth="1"/>
    <col min="3337" max="3584" width="11.54296875" style="1"/>
    <col min="3585" max="3585" width="29.453125" style="1" customWidth="1"/>
    <col min="3586" max="3591" width="7.1796875" style="1" customWidth="1"/>
    <col min="3592" max="3592" width="23.453125" style="1" customWidth="1"/>
    <col min="3593" max="3840" width="11.54296875" style="1"/>
    <col min="3841" max="3841" width="29.453125" style="1" customWidth="1"/>
    <col min="3842" max="3847" width="7.1796875" style="1" customWidth="1"/>
    <col min="3848" max="3848" width="23.453125" style="1" customWidth="1"/>
    <col min="3849" max="4096" width="11.54296875" style="1"/>
    <col min="4097" max="4097" width="29.453125" style="1" customWidth="1"/>
    <col min="4098" max="4103" width="7.1796875" style="1" customWidth="1"/>
    <col min="4104" max="4104" width="23.453125" style="1" customWidth="1"/>
    <col min="4105" max="4352" width="11.54296875" style="1"/>
    <col min="4353" max="4353" width="29.453125" style="1" customWidth="1"/>
    <col min="4354" max="4359" width="7.1796875" style="1" customWidth="1"/>
    <col min="4360" max="4360" width="23.453125" style="1" customWidth="1"/>
    <col min="4361" max="4608" width="11.54296875" style="1"/>
    <col min="4609" max="4609" width="29.453125" style="1" customWidth="1"/>
    <col min="4610" max="4615" width="7.1796875" style="1" customWidth="1"/>
    <col min="4616" max="4616" width="23.453125" style="1" customWidth="1"/>
    <col min="4617" max="4864" width="11.54296875" style="1"/>
    <col min="4865" max="4865" width="29.453125" style="1" customWidth="1"/>
    <col min="4866" max="4871" width="7.1796875" style="1" customWidth="1"/>
    <col min="4872" max="4872" width="23.453125" style="1" customWidth="1"/>
    <col min="4873" max="5120" width="11.54296875" style="1"/>
    <col min="5121" max="5121" width="29.453125" style="1" customWidth="1"/>
    <col min="5122" max="5127" width="7.1796875" style="1" customWidth="1"/>
    <col min="5128" max="5128" width="23.453125" style="1" customWidth="1"/>
    <col min="5129" max="5376" width="11.54296875" style="1"/>
    <col min="5377" max="5377" width="29.453125" style="1" customWidth="1"/>
    <col min="5378" max="5383" width="7.1796875" style="1" customWidth="1"/>
    <col min="5384" max="5384" width="23.453125" style="1" customWidth="1"/>
    <col min="5385" max="5632" width="11.54296875" style="1"/>
    <col min="5633" max="5633" width="29.453125" style="1" customWidth="1"/>
    <col min="5634" max="5639" width="7.1796875" style="1" customWidth="1"/>
    <col min="5640" max="5640" width="23.453125" style="1" customWidth="1"/>
    <col min="5641" max="5888" width="11.54296875" style="1"/>
    <col min="5889" max="5889" width="29.453125" style="1" customWidth="1"/>
    <col min="5890" max="5895" width="7.1796875" style="1" customWidth="1"/>
    <col min="5896" max="5896" width="23.453125" style="1" customWidth="1"/>
    <col min="5897" max="6144" width="11.54296875" style="1"/>
    <col min="6145" max="6145" width="29.453125" style="1" customWidth="1"/>
    <col min="6146" max="6151" width="7.1796875" style="1" customWidth="1"/>
    <col min="6152" max="6152" width="23.453125" style="1" customWidth="1"/>
    <col min="6153" max="6400" width="11.54296875" style="1"/>
    <col min="6401" max="6401" width="29.453125" style="1" customWidth="1"/>
    <col min="6402" max="6407" width="7.1796875" style="1" customWidth="1"/>
    <col min="6408" max="6408" width="23.453125" style="1" customWidth="1"/>
    <col min="6409" max="6656" width="11.54296875" style="1"/>
    <col min="6657" max="6657" width="29.453125" style="1" customWidth="1"/>
    <col min="6658" max="6663" width="7.1796875" style="1" customWidth="1"/>
    <col min="6664" max="6664" width="23.453125" style="1" customWidth="1"/>
    <col min="6665" max="6912" width="11.54296875" style="1"/>
    <col min="6913" max="6913" width="29.453125" style="1" customWidth="1"/>
    <col min="6914" max="6919" width="7.1796875" style="1" customWidth="1"/>
    <col min="6920" max="6920" width="23.453125" style="1" customWidth="1"/>
    <col min="6921" max="7168" width="11.54296875" style="1"/>
    <col min="7169" max="7169" width="29.453125" style="1" customWidth="1"/>
    <col min="7170" max="7175" width="7.1796875" style="1" customWidth="1"/>
    <col min="7176" max="7176" width="23.453125" style="1" customWidth="1"/>
    <col min="7177" max="7424" width="11.54296875" style="1"/>
    <col min="7425" max="7425" width="29.453125" style="1" customWidth="1"/>
    <col min="7426" max="7431" width="7.1796875" style="1" customWidth="1"/>
    <col min="7432" max="7432" width="23.453125" style="1" customWidth="1"/>
    <col min="7433" max="7680" width="11.54296875" style="1"/>
    <col min="7681" max="7681" width="29.453125" style="1" customWidth="1"/>
    <col min="7682" max="7687" width="7.1796875" style="1" customWidth="1"/>
    <col min="7688" max="7688" width="23.453125" style="1" customWidth="1"/>
    <col min="7689" max="7936" width="11.54296875" style="1"/>
    <col min="7937" max="7937" width="29.453125" style="1" customWidth="1"/>
    <col min="7938" max="7943" width="7.1796875" style="1" customWidth="1"/>
    <col min="7944" max="7944" width="23.453125" style="1" customWidth="1"/>
    <col min="7945" max="8192" width="11.54296875" style="1"/>
    <col min="8193" max="8193" width="29.453125" style="1" customWidth="1"/>
    <col min="8194" max="8199" width="7.1796875" style="1" customWidth="1"/>
    <col min="8200" max="8200" width="23.453125" style="1" customWidth="1"/>
    <col min="8201" max="8448" width="11.54296875" style="1"/>
    <col min="8449" max="8449" width="29.453125" style="1" customWidth="1"/>
    <col min="8450" max="8455" width="7.1796875" style="1" customWidth="1"/>
    <col min="8456" max="8456" width="23.453125" style="1" customWidth="1"/>
    <col min="8457" max="8704" width="11.54296875" style="1"/>
    <col min="8705" max="8705" width="29.453125" style="1" customWidth="1"/>
    <col min="8706" max="8711" width="7.1796875" style="1" customWidth="1"/>
    <col min="8712" max="8712" width="23.453125" style="1" customWidth="1"/>
    <col min="8713" max="8960" width="11.54296875" style="1"/>
    <col min="8961" max="8961" width="29.453125" style="1" customWidth="1"/>
    <col min="8962" max="8967" width="7.1796875" style="1" customWidth="1"/>
    <col min="8968" max="8968" width="23.453125" style="1" customWidth="1"/>
    <col min="8969" max="9216" width="11.54296875" style="1"/>
    <col min="9217" max="9217" width="29.453125" style="1" customWidth="1"/>
    <col min="9218" max="9223" width="7.1796875" style="1" customWidth="1"/>
    <col min="9224" max="9224" width="23.453125" style="1" customWidth="1"/>
    <col min="9225" max="9472" width="11.54296875" style="1"/>
    <col min="9473" max="9473" width="29.453125" style="1" customWidth="1"/>
    <col min="9474" max="9479" width="7.1796875" style="1" customWidth="1"/>
    <col min="9480" max="9480" width="23.453125" style="1" customWidth="1"/>
    <col min="9481" max="9728" width="11.54296875" style="1"/>
    <col min="9729" max="9729" width="29.453125" style="1" customWidth="1"/>
    <col min="9730" max="9735" width="7.1796875" style="1" customWidth="1"/>
    <col min="9736" max="9736" width="23.453125" style="1" customWidth="1"/>
    <col min="9737" max="9984" width="11.54296875" style="1"/>
    <col min="9985" max="9985" width="29.453125" style="1" customWidth="1"/>
    <col min="9986" max="9991" width="7.1796875" style="1" customWidth="1"/>
    <col min="9992" max="9992" width="23.453125" style="1" customWidth="1"/>
    <col min="9993" max="10240" width="11.54296875" style="1"/>
    <col min="10241" max="10241" width="29.453125" style="1" customWidth="1"/>
    <col min="10242" max="10247" width="7.1796875" style="1" customWidth="1"/>
    <col min="10248" max="10248" width="23.453125" style="1" customWidth="1"/>
    <col min="10249" max="10496" width="11.54296875" style="1"/>
    <col min="10497" max="10497" width="29.453125" style="1" customWidth="1"/>
    <col min="10498" max="10503" width="7.1796875" style="1" customWidth="1"/>
    <col min="10504" max="10504" width="23.453125" style="1" customWidth="1"/>
    <col min="10505" max="10752" width="11.54296875" style="1"/>
    <col min="10753" max="10753" width="29.453125" style="1" customWidth="1"/>
    <col min="10754" max="10759" width="7.1796875" style="1" customWidth="1"/>
    <col min="10760" max="10760" width="23.453125" style="1" customWidth="1"/>
    <col min="10761" max="11008" width="11.54296875" style="1"/>
    <col min="11009" max="11009" width="29.453125" style="1" customWidth="1"/>
    <col min="11010" max="11015" width="7.1796875" style="1" customWidth="1"/>
    <col min="11016" max="11016" width="23.453125" style="1" customWidth="1"/>
    <col min="11017" max="11264" width="11.54296875" style="1"/>
    <col min="11265" max="11265" width="29.453125" style="1" customWidth="1"/>
    <col min="11266" max="11271" width="7.1796875" style="1" customWidth="1"/>
    <col min="11272" max="11272" width="23.453125" style="1" customWidth="1"/>
    <col min="11273" max="11520" width="11.54296875" style="1"/>
    <col min="11521" max="11521" width="29.453125" style="1" customWidth="1"/>
    <col min="11522" max="11527" width="7.1796875" style="1" customWidth="1"/>
    <col min="11528" max="11528" width="23.453125" style="1" customWidth="1"/>
    <col min="11529" max="11776" width="11.54296875" style="1"/>
    <col min="11777" max="11777" width="29.453125" style="1" customWidth="1"/>
    <col min="11778" max="11783" width="7.1796875" style="1" customWidth="1"/>
    <col min="11784" max="11784" width="23.453125" style="1" customWidth="1"/>
    <col min="11785" max="12032" width="11.54296875" style="1"/>
    <col min="12033" max="12033" width="29.453125" style="1" customWidth="1"/>
    <col min="12034" max="12039" width="7.1796875" style="1" customWidth="1"/>
    <col min="12040" max="12040" width="23.453125" style="1" customWidth="1"/>
    <col min="12041" max="12288" width="11.54296875" style="1"/>
    <col min="12289" max="12289" width="29.453125" style="1" customWidth="1"/>
    <col min="12290" max="12295" width="7.1796875" style="1" customWidth="1"/>
    <col min="12296" max="12296" width="23.453125" style="1" customWidth="1"/>
    <col min="12297" max="12544" width="11.54296875" style="1"/>
    <col min="12545" max="12545" width="29.453125" style="1" customWidth="1"/>
    <col min="12546" max="12551" width="7.1796875" style="1" customWidth="1"/>
    <col min="12552" max="12552" width="23.453125" style="1" customWidth="1"/>
    <col min="12553" max="12800" width="11.54296875" style="1"/>
    <col min="12801" max="12801" width="29.453125" style="1" customWidth="1"/>
    <col min="12802" max="12807" width="7.1796875" style="1" customWidth="1"/>
    <col min="12808" max="12808" width="23.453125" style="1" customWidth="1"/>
    <col min="12809" max="13056" width="11.54296875" style="1"/>
    <col min="13057" max="13057" width="29.453125" style="1" customWidth="1"/>
    <col min="13058" max="13063" width="7.1796875" style="1" customWidth="1"/>
    <col min="13064" max="13064" width="23.453125" style="1" customWidth="1"/>
    <col min="13065" max="13312" width="11.54296875" style="1"/>
    <col min="13313" max="13313" width="29.453125" style="1" customWidth="1"/>
    <col min="13314" max="13319" width="7.1796875" style="1" customWidth="1"/>
    <col min="13320" max="13320" width="23.453125" style="1" customWidth="1"/>
    <col min="13321" max="13568" width="11.54296875" style="1"/>
    <col min="13569" max="13569" width="29.453125" style="1" customWidth="1"/>
    <col min="13570" max="13575" width="7.1796875" style="1" customWidth="1"/>
    <col min="13576" max="13576" width="23.453125" style="1" customWidth="1"/>
    <col min="13577" max="13824" width="11.54296875" style="1"/>
    <col min="13825" max="13825" width="29.453125" style="1" customWidth="1"/>
    <col min="13826" max="13831" width="7.1796875" style="1" customWidth="1"/>
    <col min="13832" max="13832" width="23.453125" style="1" customWidth="1"/>
    <col min="13833" max="14080" width="11.54296875" style="1"/>
    <col min="14081" max="14081" width="29.453125" style="1" customWidth="1"/>
    <col min="14082" max="14087" width="7.1796875" style="1" customWidth="1"/>
    <col min="14088" max="14088" width="23.453125" style="1" customWidth="1"/>
    <col min="14089" max="14336" width="11.54296875" style="1"/>
    <col min="14337" max="14337" width="29.453125" style="1" customWidth="1"/>
    <col min="14338" max="14343" width="7.1796875" style="1" customWidth="1"/>
    <col min="14344" max="14344" width="23.453125" style="1" customWidth="1"/>
    <col min="14345" max="14592" width="11.54296875" style="1"/>
    <col min="14593" max="14593" width="29.453125" style="1" customWidth="1"/>
    <col min="14594" max="14599" width="7.1796875" style="1" customWidth="1"/>
    <col min="14600" max="14600" width="23.453125" style="1" customWidth="1"/>
    <col min="14601" max="14848" width="11.54296875" style="1"/>
    <col min="14849" max="14849" width="29.453125" style="1" customWidth="1"/>
    <col min="14850" max="14855" width="7.1796875" style="1" customWidth="1"/>
    <col min="14856" max="14856" width="23.453125" style="1" customWidth="1"/>
    <col min="14857" max="15104" width="11.54296875" style="1"/>
    <col min="15105" max="15105" width="29.453125" style="1" customWidth="1"/>
    <col min="15106" max="15111" width="7.1796875" style="1" customWidth="1"/>
    <col min="15112" max="15112" width="23.453125" style="1" customWidth="1"/>
    <col min="15113" max="15360" width="11.54296875" style="1"/>
    <col min="15361" max="15361" width="29.453125" style="1" customWidth="1"/>
    <col min="15362" max="15367" width="7.1796875" style="1" customWidth="1"/>
    <col min="15368" max="15368" width="23.453125" style="1" customWidth="1"/>
    <col min="15369" max="15616" width="11.54296875" style="1"/>
    <col min="15617" max="15617" width="29.453125" style="1" customWidth="1"/>
    <col min="15618" max="15623" width="7.1796875" style="1" customWidth="1"/>
    <col min="15624" max="15624" width="23.453125" style="1" customWidth="1"/>
    <col min="15625" max="15872" width="11.54296875" style="1"/>
    <col min="15873" max="15873" width="29.453125" style="1" customWidth="1"/>
    <col min="15874" max="15879" width="7.1796875" style="1" customWidth="1"/>
    <col min="15880" max="15880" width="23.453125" style="1" customWidth="1"/>
    <col min="15881" max="16128" width="11.54296875" style="1"/>
    <col min="16129" max="16129" width="29.453125" style="1" customWidth="1"/>
    <col min="16130" max="16135" width="7.1796875" style="1" customWidth="1"/>
    <col min="16136" max="16136" width="23.453125" style="1" customWidth="1"/>
    <col min="16137" max="16384" width="11.54296875" style="1"/>
  </cols>
  <sheetData>
    <row r="1" spans="1:9" ht="15.5" customHeight="1" x14ac:dyDescent="0.25">
      <c r="A1" s="199" t="s">
        <v>31</v>
      </c>
      <c r="B1" s="200"/>
      <c r="C1" s="200"/>
      <c r="D1" s="200"/>
      <c r="E1" s="200"/>
      <c r="F1" s="200"/>
      <c r="G1" s="200"/>
      <c r="H1" s="189" t="s">
        <v>180</v>
      </c>
      <c r="I1" s="190"/>
    </row>
    <row r="2" spans="1:9" ht="15.5" customHeight="1" x14ac:dyDescent="0.25">
      <c r="A2" s="201"/>
      <c r="B2" s="202"/>
      <c r="C2" s="202"/>
      <c r="D2" s="202"/>
      <c r="E2" s="202"/>
      <c r="F2" s="202"/>
      <c r="G2" s="202"/>
      <c r="H2" s="134" t="s">
        <v>196</v>
      </c>
      <c r="I2" s="191"/>
    </row>
    <row r="3" spans="1:9" ht="15.5" customHeight="1" x14ac:dyDescent="0.25">
      <c r="A3" s="203"/>
      <c r="B3" s="204"/>
      <c r="C3" s="204"/>
      <c r="D3" s="204"/>
      <c r="E3" s="204"/>
      <c r="F3" s="204"/>
      <c r="G3" s="204"/>
      <c r="H3" s="134" t="s">
        <v>185</v>
      </c>
      <c r="I3" s="191"/>
    </row>
    <row r="4" spans="1:9" ht="14.65" customHeight="1" x14ac:dyDescent="0.25">
      <c r="A4" s="192"/>
      <c r="B4" s="193"/>
      <c r="C4" s="193"/>
      <c r="D4" s="193"/>
      <c r="E4" s="193"/>
      <c r="F4" s="193"/>
      <c r="G4" s="193"/>
      <c r="H4" s="193"/>
      <c r="I4" s="194"/>
    </row>
    <row r="5" spans="1:9" ht="20.149999999999999" customHeight="1" x14ac:dyDescent="0.25">
      <c r="A5" s="195" t="s">
        <v>32</v>
      </c>
      <c r="B5" s="196"/>
      <c r="C5" s="196"/>
      <c r="D5" s="197"/>
      <c r="E5" s="197"/>
      <c r="F5" s="197"/>
      <c r="G5" s="197"/>
      <c r="H5" s="197"/>
      <c r="I5" s="198"/>
    </row>
    <row r="6" spans="1:9" ht="17" customHeight="1" x14ac:dyDescent="0.25">
      <c r="A6" s="183" t="s">
        <v>200</v>
      </c>
      <c r="B6" s="184"/>
      <c r="C6" s="184"/>
      <c r="D6" s="184"/>
      <c r="E6" s="184"/>
      <c r="F6" s="184"/>
      <c r="G6" s="184"/>
      <c r="H6" s="184"/>
      <c r="I6" s="185"/>
    </row>
    <row r="7" spans="1:9" ht="17" customHeight="1" x14ac:dyDescent="0.25">
      <c r="A7" s="180" t="s">
        <v>201</v>
      </c>
      <c r="B7" s="181"/>
      <c r="C7" s="181"/>
      <c r="D7" s="181"/>
      <c r="E7" s="181"/>
      <c r="F7" s="181"/>
      <c r="G7" s="181"/>
      <c r="H7" s="181"/>
      <c r="I7" s="182"/>
    </row>
    <row r="8" spans="1:9" ht="17" customHeight="1" x14ac:dyDescent="0.25">
      <c r="A8" s="186" t="s">
        <v>199</v>
      </c>
      <c r="B8" s="187"/>
      <c r="C8" s="187"/>
      <c r="D8" s="187"/>
      <c r="E8" s="187"/>
      <c r="F8" s="187"/>
      <c r="G8" s="187"/>
      <c r="H8" s="187"/>
      <c r="I8" s="188"/>
    </row>
    <row r="9" spans="1:9" ht="22.5" customHeight="1" x14ac:dyDescent="0.25">
      <c r="A9" s="176" t="s">
        <v>9</v>
      </c>
      <c r="B9" s="177"/>
      <c r="C9" s="177"/>
      <c r="D9" s="177"/>
      <c r="E9" s="177"/>
      <c r="F9" s="177"/>
      <c r="G9" s="177"/>
      <c r="H9" s="177"/>
      <c r="I9" s="178"/>
    </row>
    <row r="10" spans="1:9" ht="14.9" customHeight="1" x14ac:dyDescent="0.25">
      <c r="A10" s="23" t="s">
        <v>10</v>
      </c>
      <c r="B10" s="179" t="s">
        <v>11</v>
      </c>
      <c r="C10" s="179"/>
      <c r="D10" s="179"/>
      <c r="E10" s="179"/>
      <c r="F10" s="179"/>
      <c r="G10" s="179"/>
      <c r="H10" s="174" t="s">
        <v>12</v>
      </c>
      <c r="I10" s="175"/>
    </row>
    <row r="11" spans="1:9" ht="14.65" customHeight="1" x14ac:dyDescent="0.25">
      <c r="A11" s="24" t="s">
        <v>13</v>
      </c>
      <c r="B11" s="21" t="s">
        <v>14</v>
      </c>
      <c r="C11" s="159">
        <v>0.03</v>
      </c>
      <c r="D11" s="159"/>
      <c r="E11" s="22" t="s">
        <v>15</v>
      </c>
      <c r="F11" s="159">
        <v>5.5E-2</v>
      </c>
      <c r="G11" s="159"/>
      <c r="H11" s="20" t="s">
        <v>13</v>
      </c>
      <c r="I11" s="99">
        <v>4.4999999999999998E-2</v>
      </c>
    </row>
    <row r="12" spans="1:9" ht="14.65" customHeight="1" x14ac:dyDescent="0.25">
      <c r="A12" s="24" t="s">
        <v>16</v>
      </c>
      <c r="B12" s="21" t="s">
        <v>14</v>
      </c>
      <c r="C12" s="159">
        <v>8.0000000000000002E-3</v>
      </c>
      <c r="D12" s="159"/>
      <c r="E12" s="22" t="s">
        <v>15</v>
      </c>
      <c r="F12" s="159">
        <v>0.01</v>
      </c>
      <c r="G12" s="159"/>
      <c r="H12" s="20" t="s">
        <v>16</v>
      </c>
      <c r="I12" s="99">
        <v>8.0000000000000002E-3</v>
      </c>
    </row>
    <row r="13" spans="1:9" ht="14.65" customHeight="1" x14ac:dyDescent="0.25">
      <c r="A13" s="24" t="s">
        <v>17</v>
      </c>
      <c r="B13" s="21" t="s">
        <v>14</v>
      </c>
      <c r="C13" s="159">
        <v>9.7000000000000003E-3</v>
      </c>
      <c r="D13" s="159"/>
      <c r="E13" s="22" t="s">
        <v>15</v>
      </c>
      <c r="F13" s="159">
        <v>1.2700000000000001E-2</v>
      </c>
      <c r="G13" s="159"/>
      <c r="H13" s="20" t="s">
        <v>17</v>
      </c>
      <c r="I13" s="99">
        <v>9.7000000000000003E-3</v>
      </c>
    </row>
    <row r="14" spans="1:9" ht="14.65" customHeight="1" x14ac:dyDescent="0.25">
      <c r="A14" s="24" t="s">
        <v>18</v>
      </c>
      <c r="B14" s="21" t="s">
        <v>14</v>
      </c>
      <c r="C14" s="159">
        <v>5.8999999999999999E-3</v>
      </c>
      <c r="D14" s="159"/>
      <c r="E14" s="22" t="s">
        <v>15</v>
      </c>
      <c r="F14" s="159">
        <v>1.3900000000000001E-2</v>
      </c>
      <c r="G14" s="159"/>
      <c r="H14" s="20" t="s">
        <v>18</v>
      </c>
      <c r="I14" s="99">
        <v>5.8999999999999999E-3</v>
      </c>
    </row>
    <row r="15" spans="1:9" ht="14.65" customHeight="1" x14ac:dyDescent="0.25">
      <c r="A15" s="24" t="s">
        <v>19</v>
      </c>
      <c r="B15" s="21" t="s">
        <v>14</v>
      </c>
      <c r="C15" s="159">
        <v>6.1600000000000002E-2</v>
      </c>
      <c r="D15" s="159"/>
      <c r="E15" s="22" t="s">
        <v>15</v>
      </c>
      <c r="F15" s="159">
        <v>8.9599999999999999E-2</v>
      </c>
      <c r="G15" s="159"/>
      <c r="H15" s="20" t="s">
        <v>19</v>
      </c>
      <c r="I15" s="99">
        <v>7.9899999999999999E-2</v>
      </c>
    </row>
    <row r="16" spans="1:9" ht="14.65" customHeight="1" x14ac:dyDescent="0.25">
      <c r="A16" s="24" t="s">
        <v>20</v>
      </c>
      <c r="B16" s="21" t="s">
        <v>14</v>
      </c>
      <c r="C16" s="159">
        <v>5.6500000000000002E-2</v>
      </c>
      <c r="D16" s="159"/>
      <c r="E16" s="22" t="s">
        <v>15</v>
      </c>
      <c r="F16" s="159">
        <v>8.6500000000000007E-2</v>
      </c>
      <c r="G16" s="159"/>
      <c r="H16" s="20" t="s">
        <v>20</v>
      </c>
      <c r="I16" s="99">
        <v>5.6500000000000002E-2</v>
      </c>
    </row>
    <row r="17" spans="1:9" ht="14.65" customHeight="1" x14ac:dyDescent="0.25">
      <c r="A17" s="24" t="s">
        <v>21</v>
      </c>
      <c r="B17" s="21"/>
      <c r="C17" s="159">
        <v>0</v>
      </c>
      <c r="D17" s="159"/>
      <c r="E17" s="96" t="s">
        <v>22</v>
      </c>
      <c r="F17" s="159">
        <v>0.02</v>
      </c>
      <c r="G17" s="159"/>
      <c r="H17" s="20" t="s">
        <v>21</v>
      </c>
      <c r="I17" s="99">
        <v>0.02</v>
      </c>
    </row>
    <row r="18" spans="1:9" ht="14.65" customHeight="1" x14ac:dyDescent="0.25">
      <c r="A18" s="173" t="s">
        <v>23</v>
      </c>
      <c r="B18" s="174"/>
      <c r="C18" s="174"/>
      <c r="D18" s="174"/>
      <c r="E18" s="174"/>
      <c r="F18" s="174"/>
      <c r="G18" s="174"/>
      <c r="H18" s="174"/>
      <c r="I18" s="175"/>
    </row>
    <row r="19" spans="1:9" ht="14.65" customHeight="1" x14ac:dyDescent="0.25">
      <c r="A19" s="25" t="s">
        <v>13</v>
      </c>
      <c r="B19" s="155" t="s">
        <v>24</v>
      </c>
      <c r="C19" s="155"/>
      <c r="D19" s="155"/>
      <c r="E19" s="155"/>
      <c r="F19" s="155"/>
      <c r="G19" s="155"/>
      <c r="H19" s="155"/>
      <c r="I19" s="156"/>
    </row>
    <row r="20" spans="1:9" ht="14.65" customHeight="1" x14ac:dyDescent="0.25">
      <c r="A20" s="25" t="s">
        <v>16</v>
      </c>
      <c r="B20" s="155" t="s">
        <v>24</v>
      </c>
      <c r="C20" s="155"/>
      <c r="D20" s="155"/>
      <c r="E20" s="155"/>
      <c r="F20" s="155"/>
      <c r="G20" s="155"/>
      <c r="H20" s="155"/>
      <c r="I20" s="156"/>
    </row>
    <row r="21" spans="1:9" ht="14.65" customHeight="1" x14ac:dyDescent="0.25">
      <c r="A21" s="25" t="s">
        <v>17</v>
      </c>
      <c r="B21" s="155" t="s">
        <v>24</v>
      </c>
      <c r="C21" s="155"/>
      <c r="D21" s="155"/>
      <c r="E21" s="155"/>
      <c r="F21" s="155"/>
      <c r="G21" s="155"/>
      <c r="H21" s="155"/>
      <c r="I21" s="156"/>
    </row>
    <row r="22" spans="1:9" ht="14.65" customHeight="1" x14ac:dyDescent="0.25">
      <c r="A22" s="25" t="s">
        <v>18</v>
      </c>
      <c r="B22" s="155" t="s">
        <v>24</v>
      </c>
      <c r="C22" s="155"/>
      <c r="D22" s="155"/>
      <c r="E22" s="155"/>
      <c r="F22" s="155"/>
      <c r="G22" s="155"/>
      <c r="H22" s="155"/>
      <c r="I22" s="156"/>
    </row>
    <row r="23" spans="1:9" ht="14.65" customHeight="1" x14ac:dyDescent="0.25">
      <c r="A23" s="25" t="s">
        <v>19</v>
      </c>
      <c r="B23" s="155" t="s">
        <v>24</v>
      </c>
      <c r="C23" s="155"/>
      <c r="D23" s="155"/>
      <c r="E23" s="155"/>
      <c r="F23" s="155"/>
      <c r="G23" s="155"/>
      <c r="H23" s="155"/>
      <c r="I23" s="156"/>
    </row>
    <row r="24" spans="1:9" ht="14.65" customHeight="1" x14ac:dyDescent="0.25">
      <c r="A24" s="25" t="s">
        <v>20</v>
      </c>
      <c r="B24" s="155" t="s">
        <v>24</v>
      </c>
      <c r="C24" s="155"/>
      <c r="D24" s="155"/>
      <c r="E24" s="155"/>
      <c r="F24" s="155"/>
      <c r="G24" s="155"/>
      <c r="H24" s="155"/>
      <c r="I24" s="156"/>
    </row>
    <row r="25" spans="1:9" ht="14.5" customHeight="1" x14ac:dyDescent="0.25">
      <c r="A25" s="25" t="s">
        <v>21</v>
      </c>
      <c r="B25" s="155" t="s">
        <v>24</v>
      </c>
      <c r="C25" s="155"/>
      <c r="D25" s="155"/>
      <c r="E25" s="155"/>
      <c r="F25" s="155"/>
      <c r="G25" s="155"/>
      <c r="H25" s="155"/>
      <c r="I25" s="156"/>
    </row>
    <row r="26" spans="1:9" ht="14.65" customHeight="1" x14ac:dyDescent="0.25">
      <c r="A26" s="26" t="s">
        <v>25</v>
      </c>
      <c r="B26" s="163" t="s">
        <v>26</v>
      </c>
      <c r="C26" s="163"/>
      <c r="D26" s="163"/>
      <c r="E26" s="163"/>
      <c r="F26" s="163"/>
      <c r="G26" s="163"/>
      <c r="H26" s="163"/>
      <c r="I26" s="100">
        <f>ROUND(((1+I11+I12+I13)*(1+I14)*(1+I15)/(1-(I16+I17))-1),4)</f>
        <v>0.25</v>
      </c>
    </row>
    <row r="27" spans="1:9" ht="14.65" customHeight="1" thickBot="1" x14ac:dyDescent="0.3">
      <c r="A27" s="27"/>
      <c r="B27" s="164">
        <f>IF(I17=0.02,IF(AND(I26&gt;=K21,I26&lt;=L21),K20,L20),IF(AND(I26&gt;=K22,I26&lt;=L22),K20,L20))</f>
        <v>0</v>
      </c>
      <c r="C27" s="164"/>
      <c r="D27" s="164"/>
      <c r="E27" s="164"/>
      <c r="F27" s="164"/>
      <c r="G27" s="164"/>
      <c r="H27" s="164"/>
      <c r="I27" s="165"/>
    </row>
    <row r="28" spans="1:9" ht="27.65" customHeight="1" x14ac:dyDescent="0.3">
      <c r="A28" s="97"/>
      <c r="B28" s="98"/>
      <c r="C28" s="98"/>
      <c r="D28" s="2"/>
      <c r="E28" s="2"/>
      <c r="F28" s="2"/>
      <c r="G28" s="157" t="s">
        <v>190</v>
      </c>
      <c r="H28" s="157"/>
      <c r="I28" s="158"/>
    </row>
    <row r="29" spans="1:9" ht="19.5" customHeight="1" x14ac:dyDescent="0.3">
      <c r="A29" s="97"/>
      <c r="B29" s="98"/>
      <c r="C29" s="98"/>
      <c r="D29" s="2"/>
      <c r="E29" s="2"/>
      <c r="F29" s="2"/>
      <c r="G29" s="2"/>
      <c r="H29" s="3"/>
      <c r="I29" s="4"/>
    </row>
    <row r="30" spans="1:9" ht="26.15" customHeight="1" x14ac:dyDescent="0.3">
      <c r="A30" s="166" t="s">
        <v>34</v>
      </c>
      <c r="B30" s="167"/>
      <c r="C30" s="167"/>
      <c r="D30" s="2"/>
      <c r="E30" s="167" t="s">
        <v>34</v>
      </c>
      <c r="F30" s="167"/>
      <c r="G30" s="167"/>
      <c r="H30" s="167"/>
      <c r="I30" s="5"/>
    </row>
    <row r="31" spans="1:9" ht="19.5" customHeight="1" x14ac:dyDescent="0.25">
      <c r="A31" s="168" t="s">
        <v>33</v>
      </c>
      <c r="B31" s="169"/>
      <c r="C31" s="169"/>
      <c r="D31" s="6"/>
      <c r="E31" s="150" t="s">
        <v>40</v>
      </c>
      <c r="F31" s="150"/>
      <c r="G31" s="150"/>
      <c r="H31" s="150"/>
      <c r="I31" s="7"/>
    </row>
    <row r="32" spans="1:9" ht="14.65" customHeight="1" x14ac:dyDescent="0.25">
      <c r="A32" s="170" t="s">
        <v>36</v>
      </c>
      <c r="B32" s="171"/>
      <c r="C32" s="171"/>
      <c r="D32" s="8"/>
      <c r="E32" s="172" t="s">
        <v>35</v>
      </c>
      <c r="F32" s="172"/>
      <c r="G32" s="172"/>
      <c r="H32" s="172"/>
      <c r="I32" s="9"/>
    </row>
    <row r="33" spans="1:9" ht="21" customHeight="1" thickBot="1" x14ac:dyDescent="0.3">
      <c r="A33" s="160"/>
      <c r="B33" s="161"/>
      <c r="C33" s="161"/>
      <c r="D33" s="161"/>
      <c r="E33" s="161"/>
      <c r="F33" s="161"/>
      <c r="G33" s="161"/>
      <c r="H33" s="161"/>
      <c r="I33" s="162"/>
    </row>
    <row r="34" spans="1:9" ht="12.75" customHeight="1" x14ac:dyDescent="0.25"/>
    <row r="35" spans="1:9" ht="14.65" customHeight="1" x14ac:dyDescent="0.25"/>
    <row r="36" spans="1:9" ht="14.65" customHeight="1" x14ac:dyDescent="0.25"/>
    <row r="37" spans="1:9" ht="14.65" customHeight="1" x14ac:dyDescent="0.25"/>
    <row r="38" spans="1:9" ht="12.75" customHeight="1" x14ac:dyDescent="0.25"/>
    <row r="39" spans="1:9" ht="12.75" customHeight="1" x14ac:dyDescent="0.25"/>
    <row r="40" spans="1:9" ht="12.75" customHeight="1" x14ac:dyDescent="0.25"/>
    <row r="41" spans="1:9" ht="12.75" customHeight="1" x14ac:dyDescent="0.25"/>
    <row r="42" spans="1:9" ht="12.75" customHeight="1" x14ac:dyDescent="0.25"/>
    <row r="43" spans="1:9" ht="14.65" customHeight="1" x14ac:dyDescent="0.25"/>
    <row r="44" spans="1:9" ht="12.75" customHeight="1" x14ac:dyDescent="0.25"/>
    <row r="45" spans="1:9" ht="12.75" customHeight="1" x14ac:dyDescent="0.25"/>
    <row r="46" spans="1:9" ht="12.75" customHeight="1" x14ac:dyDescent="0.25"/>
    <row r="47" spans="1:9" ht="12.75" customHeight="1" x14ac:dyDescent="0.25"/>
    <row r="48" spans="1:9" ht="12.75" customHeight="1" x14ac:dyDescent="0.25"/>
    <row r="49" s="1" customFormat="1" ht="12.75" customHeight="1" x14ac:dyDescent="0.25"/>
    <row r="50" s="1" customFormat="1" ht="12.75" customHeight="1" x14ac:dyDescent="0.25"/>
    <row r="51" s="1" customFormat="1" ht="12.75" customHeight="1" x14ac:dyDescent="0.25"/>
    <row r="52" s="1" customFormat="1" ht="12.75" customHeight="1" x14ac:dyDescent="0.25"/>
    <row r="53" s="1" customFormat="1" ht="12.75" customHeight="1" x14ac:dyDescent="0.25"/>
    <row r="54" s="1" customFormat="1" ht="12.75" customHeight="1" x14ac:dyDescent="0.25"/>
    <row r="55" s="1" customFormat="1" ht="12.75" customHeight="1" x14ac:dyDescent="0.25"/>
    <row r="56" s="1" customFormat="1" ht="12.75" customHeight="1" x14ac:dyDescent="0.25"/>
    <row r="57" s="1" customFormat="1" ht="12.75" customHeight="1" x14ac:dyDescent="0.25"/>
    <row r="58" s="1" customFormat="1" ht="12.75" customHeight="1" x14ac:dyDescent="0.25"/>
    <row r="59" s="1" customFormat="1" ht="12.75" customHeight="1" x14ac:dyDescent="0.25"/>
    <row r="60" s="1" customFormat="1" ht="12.75" customHeight="1" x14ac:dyDescent="0.25"/>
    <row r="61" s="1" customFormat="1" ht="12.75" customHeight="1" x14ac:dyDescent="0.25"/>
    <row r="62" s="1" customFormat="1" ht="12.75" customHeight="1" x14ac:dyDescent="0.25"/>
    <row r="63" s="1" customFormat="1" ht="12.75" customHeight="1" x14ac:dyDescent="0.25"/>
    <row r="64" s="1" customFormat="1" ht="12.75" customHeight="1" x14ac:dyDescent="0.25"/>
    <row r="65" s="1" customFormat="1" ht="12.75" customHeight="1" x14ac:dyDescent="0.25"/>
    <row r="66" s="1" customFormat="1" ht="12.75" customHeight="1" x14ac:dyDescent="0.25"/>
    <row r="67" s="1" customFormat="1" ht="12.75" customHeight="1" x14ac:dyDescent="0.25"/>
    <row r="68" s="1" customFormat="1" ht="12.75" customHeight="1" x14ac:dyDescent="0.25"/>
    <row r="69" s="1" customFormat="1" ht="12.75" customHeight="1" x14ac:dyDescent="0.25"/>
    <row r="70" s="1" customFormat="1" ht="12.75" customHeight="1" x14ac:dyDescent="0.25"/>
    <row r="71" s="1" customFormat="1" ht="12.75" customHeight="1" x14ac:dyDescent="0.25"/>
    <row r="72" s="1" customFormat="1" ht="12.75" customHeight="1" x14ac:dyDescent="0.25"/>
    <row r="73" s="1" customFormat="1" ht="12.75" customHeight="1" x14ac:dyDescent="0.25"/>
    <row r="74" s="1" customFormat="1" ht="12.75" customHeight="1" x14ac:dyDescent="0.25"/>
    <row r="75" s="1" customFormat="1" ht="12.75" customHeight="1" x14ac:dyDescent="0.25"/>
    <row r="76" s="1" customFormat="1" ht="12.75" customHeight="1" x14ac:dyDescent="0.25"/>
    <row r="77" s="1" customFormat="1" ht="12.75" customHeight="1" x14ac:dyDescent="0.25"/>
    <row r="78" s="1" customFormat="1" ht="12.75" customHeight="1" x14ac:dyDescent="0.25"/>
    <row r="79" s="1" customFormat="1" ht="12.75" customHeight="1" x14ac:dyDescent="0.25"/>
    <row r="80" s="1" customFormat="1" ht="12.75" customHeight="1" x14ac:dyDescent="0.25"/>
    <row r="81" s="1" customFormat="1" ht="12.75" customHeight="1" x14ac:dyDescent="0.25"/>
    <row r="82" s="1" customFormat="1" ht="12.75" customHeight="1" x14ac:dyDescent="0.25"/>
    <row r="83" s="1" customFormat="1" ht="12.75" customHeight="1" x14ac:dyDescent="0.25"/>
    <row r="84" s="1" customFormat="1" ht="12.75" customHeight="1" x14ac:dyDescent="0.25"/>
    <row r="85" s="1" customFormat="1" ht="12.75" customHeight="1" x14ac:dyDescent="0.25"/>
    <row r="86" s="1" customFormat="1" ht="12.75" customHeight="1" x14ac:dyDescent="0.25"/>
    <row r="87" s="1" customFormat="1" ht="12.75" customHeight="1" x14ac:dyDescent="0.25"/>
    <row r="88" s="1" customFormat="1" ht="12.75" customHeight="1" x14ac:dyDescent="0.25"/>
    <row r="89" s="1" customFormat="1" ht="12.75" customHeight="1" x14ac:dyDescent="0.25"/>
    <row r="90" s="1" customFormat="1" ht="12.75" customHeight="1" x14ac:dyDescent="0.25"/>
    <row r="91" s="1" customFormat="1" ht="12.75" customHeight="1" x14ac:dyDescent="0.25"/>
    <row r="92" s="1" customFormat="1" ht="12.75" customHeight="1" x14ac:dyDescent="0.25"/>
    <row r="93" s="1" customFormat="1" ht="12.75" customHeight="1" x14ac:dyDescent="0.25"/>
    <row r="94" s="1" customFormat="1" ht="12.75" customHeight="1" x14ac:dyDescent="0.25"/>
    <row r="95" s="1" customFormat="1" ht="12.75" customHeight="1" x14ac:dyDescent="0.25"/>
    <row r="96" s="1" customFormat="1" ht="12.75" customHeight="1" x14ac:dyDescent="0.25"/>
    <row r="97" spans="1:11" ht="12.75" customHeight="1" x14ac:dyDescent="0.25"/>
    <row r="98" spans="1:11" ht="12.75" customHeight="1" x14ac:dyDescent="0.25"/>
    <row r="99" spans="1:11" ht="12.75" customHeight="1" x14ac:dyDescent="0.25"/>
    <row r="100" spans="1:11" ht="12.75" customHeight="1" x14ac:dyDescent="0.25"/>
    <row r="101" spans="1:11" ht="12.75" customHeight="1" x14ac:dyDescent="0.25"/>
    <row r="102" spans="1:11" ht="12.75" customHeight="1" x14ac:dyDescent="0.25"/>
    <row r="103" spans="1:11" ht="12.75" customHeight="1" x14ac:dyDescent="0.25"/>
    <row r="104" spans="1:11" ht="12.75" customHeight="1" x14ac:dyDescent="0.25"/>
    <row r="105" spans="1:11" ht="12.75" customHeight="1" x14ac:dyDescent="0.25"/>
    <row r="106" spans="1:11" ht="12.75" customHeight="1" x14ac:dyDescent="0.25">
      <c r="A106" s="1" t="s">
        <v>29</v>
      </c>
    </row>
    <row r="107" spans="1:11" ht="19.5" customHeight="1" x14ac:dyDescent="0.25">
      <c r="A107" s="101" t="s">
        <v>27</v>
      </c>
      <c r="B107" s="101"/>
      <c r="C107" s="101"/>
      <c r="D107" s="101"/>
      <c r="E107" s="101"/>
      <c r="F107" s="101"/>
      <c r="G107" s="101"/>
      <c r="H107" s="101"/>
      <c r="I107" s="101"/>
      <c r="J107" s="101"/>
    </row>
    <row r="108" spans="1:11" ht="19.5" customHeight="1" x14ac:dyDescent="0.25">
      <c r="A108" s="101" t="s">
        <v>28</v>
      </c>
      <c r="B108" s="101"/>
      <c r="C108" s="101"/>
      <c r="D108" s="101"/>
      <c r="E108" s="101"/>
      <c r="F108" s="101"/>
      <c r="G108" s="101"/>
      <c r="H108" s="101"/>
      <c r="I108" s="101"/>
      <c r="J108" s="101"/>
      <c r="K108" s="102"/>
    </row>
    <row r="109" spans="1:11" ht="19.5" customHeight="1" x14ac:dyDescent="0.25">
      <c r="A109" s="101" t="s">
        <v>30</v>
      </c>
      <c r="B109" s="101"/>
      <c r="C109" s="101"/>
      <c r="D109" s="101"/>
      <c r="E109" s="101"/>
      <c r="F109" s="101"/>
      <c r="G109" s="101"/>
      <c r="H109" s="101"/>
      <c r="I109" s="101"/>
      <c r="J109" s="101"/>
      <c r="K109" s="102"/>
    </row>
    <row r="110" spans="1:11" ht="19.5" customHeight="1" x14ac:dyDescent="0.25">
      <c r="K110" s="102"/>
    </row>
    <row r="111" spans="1:11" ht="12.75" customHeight="1" x14ac:dyDescent="0.25"/>
    <row r="112" spans="1:11" ht="12.75" customHeight="1" x14ac:dyDescent="0.25"/>
    <row r="113" s="1" customFormat="1" ht="12.75" customHeight="1" x14ac:dyDescent="0.25"/>
    <row r="114" s="1" customFormat="1" ht="12.75" customHeight="1" x14ac:dyDescent="0.25"/>
    <row r="115" s="1" customFormat="1" ht="12.75" customHeight="1" x14ac:dyDescent="0.25"/>
    <row r="116" s="1" customFormat="1" ht="12.75" customHeight="1" x14ac:dyDescent="0.25"/>
    <row r="117" s="1" customFormat="1" ht="12.75" customHeight="1" x14ac:dyDescent="0.25"/>
    <row r="118" s="1" customFormat="1" ht="12.75" customHeight="1" x14ac:dyDescent="0.25"/>
    <row r="119" s="1" customFormat="1" ht="12.75" customHeight="1" x14ac:dyDescent="0.25"/>
    <row r="120" s="1" customFormat="1" ht="12.75" customHeight="1" x14ac:dyDescent="0.25"/>
    <row r="121" s="1" customFormat="1" ht="12.75" customHeight="1" x14ac:dyDescent="0.25"/>
    <row r="122" s="1" customFormat="1" ht="12.75" customHeight="1" x14ac:dyDescent="0.25"/>
    <row r="123" s="1" customFormat="1" ht="12.75" customHeight="1" x14ac:dyDescent="0.25"/>
    <row r="124" s="1" customFormat="1" ht="12.75" customHeight="1" x14ac:dyDescent="0.25"/>
    <row r="125" s="1" customFormat="1" ht="12.75" customHeight="1" x14ac:dyDescent="0.25"/>
    <row r="126" s="1" customFormat="1" ht="12.75" customHeight="1" x14ac:dyDescent="0.25"/>
    <row r="127" s="1" customFormat="1" ht="12.75" customHeight="1" x14ac:dyDescent="0.25"/>
    <row r="128" s="1" customFormat="1" ht="12.75" customHeight="1" x14ac:dyDescent="0.25"/>
    <row r="129" s="1" customFormat="1" ht="12.75" customHeight="1" x14ac:dyDescent="0.25"/>
    <row r="130" s="1" customFormat="1" ht="12.75" customHeight="1" x14ac:dyDescent="0.25"/>
    <row r="131" s="1" customFormat="1" ht="12.75" customHeight="1" x14ac:dyDescent="0.25"/>
    <row r="132" s="1" customFormat="1" ht="12.75" customHeight="1" x14ac:dyDescent="0.25"/>
    <row r="133" s="1" customFormat="1" ht="12.75" customHeight="1" x14ac:dyDescent="0.25"/>
    <row r="134" s="1" customFormat="1" ht="12.75" customHeight="1" x14ac:dyDescent="0.25"/>
    <row r="135" s="1" customFormat="1" ht="12.75" customHeight="1" x14ac:dyDescent="0.25"/>
    <row r="136" s="1" customFormat="1" ht="12.75" customHeight="1" x14ac:dyDescent="0.25"/>
    <row r="137" s="1" customFormat="1" ht="12.75" customHeight="1" x14ac:dyDescent="0.25"/>
    <row r="138" s="1" customFormat="1" ht="12.75" customHeight="1" x14ac:dyDescent="0.25"/>
    <row r="139" s="1" customFormat="1" ht="12.75" customHeight="1" x14ac:dyDescent="0.25"/>
    <row r="140" s="1" customFormat="1" ht="12.75" customHeight="1" x14ac:dyDescent="0.25"/>
    <row r="141" s="1" customFormat="1" ht="12.75" customHeight="1" x14ac:dyDescent="0.25"/>
    <row r="142" s="1" customFormat="1" ht="12.75" customHeight="1" x14ac:dyDescent="0.25"/>
    <row r="143" s="1" customFormat="1" ht="12.75" customHeight="1" x14ac:dyDescent="0.25"/>
    <row r="144" s="1" customFormat="1" ht="12.75" customHeight="1" x14ac:dyDescent="0.25"/>
    <row r="145" s="1" customFormat="1" ht="12.75" customHeight="1" x14ac:dyDescent="0.25"/>
    <row r="146" s="1" customFormat="1" ht="12.75" customHeight="1" x14ac:dyDescent="0.25"/>
    <row r="147" s="1" customFormat="1" ht="12.75" customHeight="1" x14ac:dyDescent="0.25"/>
    <row r="148" s="1" customFormat="1" ht="12.75" customHeight="1" x14ac:dyDescent="0.25"/>
    <row r="149" s="1" customFormat="1" ht="12.75" customHeight="1" x14ac:dyDescent="0.25"/>
    <row r="150" s="1" customFormat="1" ht="12.75" customHeight="1" x14ac:dyDescent="0.25"/>
    <row r="151" s="1" customFormat="1" ht="12.75" customHeight="1" x14ac:dyDescent="0.25"/>
    <row r="152" s="1" customFormat="1" ht="12.75" customHeight="1" x14ac:dyDescent="0.25"/>
    <row r="153" s="1" customFormat="1" ht="12.75" customHeight="1" x14ac:dyDescent="0.25"/>
    <row r="154" s="1" customFormat="1" ht="12.75" customHeight="1" x14ac:dyDescent="0.25"/>
    <row r="155" s="1" customFormat="1" ht="12.75" customHeight="1" x14ac:dyDescent="0.25"/>
    <row r="156" s="1" customFormat="1" ht="12.75" customHeight="1" x14ac:dyDescent="0.25"/>
    <row r="157" s="1" customFormat="1" ht="12.75" customHeight="1" x14ac:dyDescent="0.25"/>
    <row r="158" s="1" customFormat="1" ht="12.75" customHeight="1" x14ac:dyDescent="0.25"/>
    <row r="159" s="1" customFormat="1" ht="12.75" customHeight="1" x14ac:dyDescent="0.25"/>
    <row r="160" s="1" customFormat="1" ht="12.75" customHeight="1" x14ac:dyDescent="0.25"/>
    <row r="161" s="1" customFormat="1" ht="12.75" customHeight="1" x14ac:dyDescent="0.25"/>
    <row r="162" s="1" customFormat="1" ht="12.75" customHeight="1" x14ac:dyDescent="0.25"/>
    <row r="163" s="1" customFormat="1" ht="12.75" customHeight="1" x14ac:dyDescent="0.25"/>
    <row r="164" s="1" customFormat="1" ht="12.75" customHeight="1" x14ac:dyDescent="0.25"/>
    <row r="165" s="1" customFormat="1" ht="12.75" customHeight="1" x14ac:dyDescent="0.25"/>
    <row r="166" s="1" customFormat="1" ht="12.75" customHeight="1" x14ac:dyDescent="0.25"/>
    <row r="167" s="1" customFormat="1" ht="12.75" customHeight="1" x14ac:dyDescent="0.25"/>
    <row r="168" s="1" customFormat="1" ht="12.75" customHeight="1" x14ac:dyDescent="0.25"/>
    <row r="169" s="1" customFormat="1" ht="12.75" customHeight="1" x14ac:dyDescent="0.25"/>
    <row r="170" s="1" customFormat="1" ht="12.75" customHeight="1" x14ac:dyDescent="0.25"/>
    <row r="171" s="1" customFormat="1" ht="12.75" customHeight="1" x14ac:dyDescent="0.25"/>
    <row r="172" s="1" customFormat="1" ht="12.75" customHeight="1" x14ac:dyDescent="0.25"/>
    <row r="173" s="1" customFormat="1" ht="12.75" customHeight="1" x14ac:dyDescent="0.25"/>
    <row r="174" s="1" customFormat="1" ht="12.75" customHeight="1" x14ac:dyDescent="0.25"/>
    <row r="175" s="1" customFormat="1" ht="12.75" customHeight="1" x14ac:dyDescent="0.25"/>
    <row r="176" s="1" customFormat="1" ht="12.75" customHeight="1" x14ac:dyDescent="0.25"/>
    <row r="177" s="1" customFormat="1" ht="12.75" customHeight="1" x14ac:dyDescent="0.25"/>
    <row r="178" s="1" customFormat="1" ht="12.75" customHeight="1" x14ac:dyDescent="0.25"/>
    <row r="179" s="1" customFormat="1" ht="12.75" customHeight="1" x14ac:dyDescent="0.25"/>
    <row r="180" s="1" customFormat="1" ht="12.75" customHeight="1" x14ac:dyDescent="0.25"/>
    <row r="181" s="1" customFormat="1" ht="12.75" customHeight="1" x14ac:dyDescent="0.25"/>
    <row r="182" s="1" customFormat="1" ht="12.75" customHeight="1" x14ac:dyDescent="0.25"/>
    <row r="183" s="1" customFormat="1" ht="12.75" customHeight="1" x14ac:dyDescent="0.25"/>
    <row r="184" s="1" customFormat="1" ht="12.75" customHeight="1" x14ac:dyDescent="0.25"/>
    <row r="185" s="1" customFormat="1" ht="12.75" customHeight="1" x14ac:dyDescent="0.25"/>
    <row r="186" s="1" customFormat="1" ht="12.75" customHeight="1" x14ac:dyDescent="0.25"/>
    <row r="187" s="1" customFormat="1" ht="12.75" customHeight="1" x14ac:dyDescent="0.25"/>
    <row r="188" s="1" customFormat="1" ht="12.75" customHeight="1" x14ac:dyDescent="0.25"/>
    <row r="189" s="1" customFormat="1" ht="12.75" customHeight="1" x14ac:dyDescent="0.25"/>
    <row r="190" s="1" customFormat="1" ht="12.75" customHeight="1" x14ac:dyDescent="0.25"/>
    <row r="191" s="1" customFormat="1" ht="12.75" customHeight="1" x14ac:dyDescent="0.25"/>
    <row r="192" s="1" customFormat="1" ht="12.75" customHeight="1" x14ac:dyDescent="0.25"/>
    <row r="193" s="1" customFormat="1" ht="14.65" customHeight="1" x14ac:dyDescent="0.25"/>
    <row r="194" s="1" customFormat="1" ht="14.65" customHeight="1" x14ac:dyDescent="0.25"/>
    <row r="195" s="1" customFormat="1" ht="14.65" customHeight="1" x14ac:dyDescent="0.25"/>
  </sheetData>
  <mergeCells count="44">
    <mergeCell ref="H1:I1"/>
    <mergeCell ref="H2:I2"/>
    <mergeCell ref="H3:I3"/>
    <mergeCell ref="A4:I4"/>
    <mergeCell ref="A5:I5"/>
    <mergeCell ref="A1:G3"/>
    <mergeCell ref="A9:I9"/>
    <mergeCell ref="B10:G10"/>
    <mergeCell ref="H10:I10"/>
    <mergeCell ref="A7:I7"/>
    <mergeCell ref="A6:I6"/>
    <mergeCell ref="A8:I8"/>
    <mergeCell ref="C17:D17"/>
    <mergeCell ref="F17:G17"/>
    <mergeCell ref="C14:D14"/>
    <mergeCell ref="A18:I18"/>
    <mergeCell ref="B19:I19"/>
    <mergeCell ref="F14:G14"/>
    <mergeCell ref="C15:D15"/>
    <mergeCell ref="F15:G15"/>
    <mergeCell ref="C16:D16"/>
    <mergeCell ref="F16:G16"/>
    <mergeCell ref="A33:I33"/>
    <mergeCell ref="B24:I24"/>
    <mergeCell ref="B25:I25"/>
    <mergeCell ref="B26:H26"/>
    <mergeCell ref="B27:I27"/>
    <mergeCell ref="A30:C30"/>
    <mergeCell ref="A31:C31"/>
    <mergeCell ref="A32:C32"/>
    <mergeCell ref="E30:H30"/>
    <mergeCell ref="E31:H31"/>
    <mergeCell ref="E32:H32"/>
    <mergeCell ref="C11:D11"/>
    <mergeCell ref="F11:G11"/>
    <mergeCell ref="C12:D12"/>
    <mergeCell ref="F12:G12"/>
    <mergeCell ref="C13:D13"/>
    <mergeCell ref="F13:G13"/>
    <mergeCell ref="B20:I20"/>
    <mergeCell ref="B21:I21"/>
    <mergeCell ref="B22:I22"/>
    <mergeCell ref="B23:I23"/>
    <mergeCell ref="G28:I28"/>
  </mergeCells>
  <printOptions horizontalCentered="1"/>
  <pageMargins left="0.51181102362204722" right="0.51181102362204722" top="1.1674015748031497" bottom="0.78740157480314965" header="0.31496062992125984" footer="0.31496062992125984"/>
  <pageSetup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D3B03-2201-4FBC-8A4F-3193A5918B5F}">
  <dimension ref="A1:Q63"/>
  <sheetViews>
    <sheetView zoomScaleNormal="100" workbookViewId="0">
      <selection activeCell="N42" sqref="N42"/>
    </sheetView>
  </sheetViews>
  <sheetFormatPr defaultColWidth="9.1796875" defaultRowHeight="13" x14ac:dyDescent="0.25"/>
  <cols>
    <col min="1" max="1" width="8.1796875" style="39" customWidth="1"/>
    <col min="2" max="2" width="35" style="39" customWidth="1"/>
    <col min="3" max="3" width="47.81640625" style="50" customWidth="1"/>
    <col min="4" max="4" width="12.1796875" style="39" customWidth="1"/>
    <col min="5" max="5" width="12.1796875" style="40" customWidth="1"/>
    <col min="6" max="6" width="13.90625" style="39" customWidth="1"/>
    <col min="7" max="8" width="12.7265625" style="39" hidden="1" customWidth="1"/>
    <col min="9" max="10" width="13.90625" style="39" customWidth="1"/>
    <col min="11" max="12" width="12.7265625" style="39" hidden="1" customWidth="1"/>
    <col min="13" max="14" width="13.90625" style="39" customWidth="1"/>
    <col min="15" max="15" width="12.7265625" style="39" hidden="1" customWidth="1"/>
    <col min="16" max="16" width="4.54296875" style="39" hidden="1" customWidth="1"/>
    <col min="17" max="17" width="13.90625" style="39" customWidth="1"/>
    <col min="18" max="19" width="4.453125" style="39" customWidth="1"/>
    <col min="20" max="20" width="10" style="39" customWidth="1"/>
    <col min="21" max="21" width="10.54296875" style="39" customWidth="1"/>
    <col min="22" max="23" width="0" style="39" hidden="1" customWidth="1"/>
    <col min="24" max="24" width="11.81640625" style="39" customWidth="1"/>
    <col min="25" max="25" width="10.453125" style="39" customWidth="1"/>
    <col min="26" max="27" width="0" style="39" hidden="1" customWidth="1"/>
    <col min="28" max="28" width="11.81640625" style="39" customWidth="1"/>
    <col min="29" max="29" width="11.7265625" style="39" customWidth="1"/>
    <col min="30" max="31" width="0" style="39" hidden="1" customWidth="1"/>
    <col min="32" max="32" width="11.81640625" style="39" customWidth="1"/>
    <col min="33" max="33" width="12.26953125" style="39" customWidth="1"/>
    <col min="34" max="35" width="0" style="39" hidden="1" customWidth="1"/>
    <col min="36" max="36" width="13.453125" style="39" customWidth="1"/>
    <col min="37" max="37" width="11" style="39" customWidth="1"/>
    <col min="38" max="39" width="0" style="39" hidden="1" customWidth="1"/>
    <col min="40" max="40" width="12" style="39" customWidth="1"/>
    <col min="41" max="41" width="11" style="39" customWidth="1"/>
    <col min="42" max="43" width="0" style="39" hidden="1" customWidth="1"/>
    <col min="44" max="44" width="11.81640625" style="39" customWidth="1"/>
    <col min="45" max="45" width="10.7265625" style="39" customWidth="1"/>
    <col min="46" max="47" width="0" style="39" hidden="1" customWidth="1"/>
    <col min="48" max="48" width="12.7265625" style="39" customWidth="1"/>
    <col min="49" max="49" width="10.453125" style="39" customWidth="1"/>
    <col min="50" max="51" width="0" style="39" hidden="1" customWidth="1"/>
    <col min="52" max="52" width="12.7265625" style="39" customWidth="1"/>
    <col min="53" max="53" width="10.54296875" style="39" customWidth="1"/>
    <col min="54" max="55" width="0" style="39" hidden="1" customWidth="1"/>
    <col min="56" max="56" width="12.54296875" style="39" customWidth="1"/>
    <col min="57" max="57" width="10.54296875" style="39" customWidth="1"/>
    <col min="58" max="59" width="0" style="39" hidden="1" customWidth="1"/>
    <col min="60" max="60" width="12.26953125" style="39" customWidth="1"/>
    <col min="61" max="61" width="12.1796875" style="39" customWidth="1"/>
    <col min="62" max="63" width="0" style="39" hidden="1" customWidth="1"/>
    <col min="64" max="64" width="13" style="39" customWidth="1"/>
    <col min="65" max="16384" width="9.1796875" style="39"/>
  </cols>
  <sheetData>
    <row r="1" spans="1:17" ht="18" customHeight="1" x14ac:dyDescent="0.25">
      <c r="A1" s="225" t="s">
        <v>181</v>
      </c>
      <c r="B1" s="225"/>
      <c r="C1" s="225"/>
      <c r="D1" s="225"/>
      <c r="E1" s="225"/>
      <c r="F1" s="225"/>
      <c r="G1" s="225"/>
      <c r="H1" s="225"/>
      <c r="I1" s="225"/>
      <c r="J1" s="225"/>
      <c r="K1" s="225"/>
      <c r="L1" s="225"/>
      <c r="M1" s="225"/>
      <c r="N1" s="226" t="s">
        <v>188</v>
      </c>
      <c r="O1" s="227"/>
      <c r="P1" s="227"/>
      <c r="Q1" s="227"/>
    </row>
    <row r="2" spans="1:17" ht="17" customHeight="1" x14ac:dyDescent="0.25">
      <c r="A2" s="206" t="s">
        <v>198</v>
      </c>
      <c r="B2" s="229"/>
      <c r="C2" s="229"/>
      <c r="D2" s="206" t="s">
        <v>180</v>
      </c>
      <c r="E2" s="206"/>
      <c r="F2" s="206"/>
      <c r="G2" s="74"/>
      <c r="H2" s="74"/>
      <c r="I2" s="206" t="s">
        <v>182</v>
      </c>
      <c r="J2" s="206"/>
      <c r="K2" s="206"/>
      <c r="L2" s="206"/>
      <c r="M2" s="206"/>
      <c r="N2" s="227"/>
      <c r="O2" s="227"/>
      <c r="P2" s="227"/>
      <c r="Q2" s="227"/>
    </row>
    <row r="3" spans="1:17" ht="17" customHeight="1" x14ac:dyDescent="0.25">
      <c r="A3" s="229" t="s">
        <v>183</v>
      </c>
      <c r="B3" s="229"/>
      <c r="C3" s="229"/>
      <c r="D3" s="230" t="s">
        <v>196</v>
      </c>
      <c r="E3" s="230"/>
      <c r="F3" s="230"/>
      <c r="G3" s="75"/>
      <c r="H3" s="75"/>
      <c r="I3" s="206" t="s">
        <v>197</v>
      </c>
      <c r="J3" s="206"/>
      <c r="K3" s="206"/>
      <c r="L3" s="206"/>
      <c r="M3" s="206"/>
      <c r="N3" s="227"/>
      <c r="O3" s="227"/>
      <c r="P3" s="227"/>
      <c r="Q3" s="227"/>
    </row>
    <row r="4" spans="1:17" ht="17" customHeight="1" x14ac:dyDescent="0.25">
      <c r="A4" s="229" t="s">
        <v>184</v>
      </c>
      <c r="B4" s="229"/>
      <c r="C4" s="229"/>
      <c r="D4" s="231" t="s">
        <v>187</v>
      </c>
      <c r="E4" s="231"/>
      <c r="F4" s="231"/>
      <c r="G4" s="82"/>
      <c r="H4" s="82"/>
      <c r="I4" s="207" t="s">
        <v>5</v>
      </c>
      <c r="J4" s="207"/>
      <c r="K4" s="82"/>
      <c r="L4" s="82"/>
      <c r="M4" s="83">
        <f>D57</f>
        <v>350327.24533499999</v>
      </c>
      <c r="N4" s="227"/>
      <c r="O4" s="227"/>
      <c r="P4" s="227"/>
      <c r="Q4" s="227"/>
    </row>
    <row r="5" spans="1:17" ht="15.5" x14ac:dyDescent="0.25">
      <c r="A5" s="205" t="s">
        <v>0</v>
      </c>
      <c r="B5" s="228" t="s">
        <v>85</v>
      </c>
      <c r="C5" s="228"/>
      <c r="D5" s="84" t="s">
        <v>86</v>
      </c>
      <c r="E5" s="84" t="s">
        <v>87</v>
      </c>
      <c r="F5" s="85" t="s">
        <v>88</v>
      </c>
      <c r="G5" s="86"/>
      <c r="H5" s="86"/>
      <c r="I5" s="87">
        <v>1</v>
      </c>
      <c r="J5" s="88" t="str">
        <f>F5</f>
        <v>Mês</v>
      </c>
      <c r="K5" s="89"/>
      <c r="L5" s="89"/>
      <c r="M5" s="90">
        <f>I5+1</f>
        <v>2</v>
      </c>
      <c r="N5" s="85" t="str">
        <f>J5</f>
        <v>Mês</v>
      </c>
      <c r="O5" s="91"/>
      <c r="P5" s="91"/>
      <c r="Q5" s="87">
        <f>M5+1</f>
        <v>3</v>
      </c>
    </row>
    <row r="6" spans="1:17" ht="15" customHeight="1" x14ac:dyDescent="0.25">
      <c r="A6" s="205"/>
      <c r="B6" s="228"/>
      <c r="C6" s="228"/>
      <c r="D6" s="92" t="s">
        <v>89</v>
      </c>
      <c r="E6" s="93" t="s">
        <v>90</v>
      </c>
      <c r="F6" s="94" t="s">
        <v>91</v>
      </c>
      <c r="G6" s="94"/>
      <c r="H6" s="94"/>
      <c r="I6" s="94" t="s">
        <v>92</v>
      </c>
      <c r="J6" s="95" t="str">
        <f>F6</f>
        <v>Simples</v>
      </c>
      <c r="K6" s="95"/>
      <c r="L6" s="95"/>
      <c r="M6" s="95" t="s">
        <v>92</v>
      </c>
      <c r="N6" s="94" t="str">
        <f>J6</f>
        <v>Simples</v>
      </c>
      <c r="O6" s="94"/>
      <c r="P6" s="94"/>
      <c r="Q6" s="94" t="s">
        <v>92</v>
      </c>
    </row>
    <row r="7" spans="1:17" ht="100" customHeight="1" x14ac:dyDescent="0.25">
      <c r="A7" s="76" t="s">
        <v>97</v>
      </c>
      <c r="B7" s="153" t="s">
        <v>128</v>
      </c>
      <c r="C7" s="153"/>
      <c r="D7" s="56">
        <f>'PLANILHA ORÇAMENTÁRIA'!M9</f>
        <v>703.08750000000009</v>
      </c>
      <c r="E7" s="57">
        <f>(D7*100)/D57</f>
        <v>0.20069449617818724</v>
      </c>
      <c r="F7" s="58">
        <v>100</v>
      </c>
      <c r="G7" s="59"/>
      <c r="H7" s="59"/>
      <c r="I7" s="60">
        <f>F7</f>
        <v>100</v>
      </c>
      <c r="J7" s="58">
        <v>0</v>
      </c>
      <c r="K7" s="59"/>
      <c r="L7" s="59"/>
      <c r="M7" s="60">
        <f>I7+J7</f>
        <v>100</v>
      </c>
      <c r="N7" s="58">
        <v>0</v>
      </c>
      <c r="O7" s="59"/>
      <c r="P7" s="59"/>
      <c r="Q7" s="60">
        <f>M7+N7</f>
        <v>100</v>
      </c>
    </row>
    <row r="8" spans="1:17" ht="62" customHeight="1" x14ac:dyDescent="0.25">
      <c r="A8" s="76" t="s">
        <v>133</v>
      </c>
      <c r="B8" s="153" t="s">
        <v>132</v>
      </c>
      <c r="C8" s="153"/>
      <c r="D8" s="56">
        <f>'PLANILHA ORÇAMENTÁRIA'!M10</f>
        <v>4888.7125000000005</v>
      </c>
      <c r="E8" s="57">
        <f>(D8*100)/D57</f>
        <v>1.3954702539122172</v>
      </c>
      <c r="F8" s="58">
        <v>33.33</v>
      </c>
      <c r="G8" s="59"/>
      <c r="H8" s="59"/>
      <c r="I8" s="60">
        <f t="shared" ref="I8:I55" si="0">F8</f>
        <v>33.33</v>
      </c>
      <c r="J8" s="58">
        <v>33.33</v>
      </c>
      <c r="K8" s="59"/>
      <c r="L8" s="59"/>
      <c r="M8" s="60">
        <f t="shared" ref="M8:M55" si="1">I8+J8</f>
        <v>66.66</v>
      </c>
      <c r="N8" s="58">
        <v>33.340000000000003</v>
      </c>
      <c r="O8" s="59"/>
      <c r="P8" s="59"/>
      <c r="Q8" s="60">
        <f t="shared" ref="Q8:Q55" si="2">M8+N8</f>
        <v>100</v>
      </c>
    </row>
    <row r="9" spans="1:17" ht="88.5" customHeight="1" x14ac:dyDescent="0.25">
      <c r="A9" s="76" t="s">
        <v>134</v>
      </c>
      <c r="B9" s="153" t="s">
        <v>206</v>
      </c>
      <c r="C9" s="153"/>
      <c r="D9" s="56">
        <f>'PLANILHA ORÇAMENTÁRIA'!M11</f>
        <v>2187.5</v>
      </c>
      <c r="E9" s="57">
        <f>(D9*100)/D57</f>
        <v>0.62441617919502834</v>
      </c>
      <c r="F9" s="58">
        <v>50</v>
      </c>
      <c r="G9" s="59"/>
      <c r="H9" s="59"/>
      <c r="I9" s="60">
        <f t="shared" si="0"/>
        <v>50</v>
      </c>
      <c r="J9" s="58">
        <v>0</v>
      </c>
      <c r="K9" s="59"/>
      <c r="L9" s="59"/>
      <c r="M9" s="60">
        <f t="shared" si="1"/>
        <v>50</v>
      </c>
      <c r="N9" s="58">
        <v>50</v>
      </c>
      <c r="O9" s="59"/>
      <c r="P9" s="59"/>
      <c r="Q9" s="60">
        <f t="shared" si="2"/>
        <v>100</v>
      </c>
    </row>
    <row r="10" spans="1:17" ht="32" customHeight="1" x14ac:dyDescent="0.25">
      <c r="A10" s="76" t="s">
        <v>135</v>
      </c>
      <c r="B10" s="117" t="s">
        <v>112</v>
      </c>
      <c r="C10" s="117"/>
      <c r="D10" s="56">
        <f>'PLANILHA ORÇAMENTÁRIA'!M12</f>
        <v>3142.0000000000005</v>
      </c>
      <c r="E10" s="57">
        <f>(D10*100)/D57</f>
        <v>0.89687571887121342</v>
      </c>
      <c r="F10" s="58">
        <v>100</v>
      </c>
      <c r="G10" s="59"/>
      <c r="H10" s="59"/>
      <c r="I10" s="60">
        <f t="shared" si="0"/>
        <v>100</v>
      </c>
      <c r="J10" s="58">
        <v>0</v>
      </c>
      <c r="K10" s="59"/>
      <c r="L10" s="59"/>
      <c r="M10" s="60">
        <f t="shared" si="1"/>
        <v>100</v>
      </c>
      <c r="N10" s="58">
        <v>0</v>
      </c>
      <c r="O10" s="59"/>
      <c r="P10" s="59"/>
      <c r="Q10" s="60">
        <f t="shared" si="2"/>
        <v>100</v>
      </c>
    </row>
    <row r="11" spans="1:17" ht="48" customHeight="1" x14ac:dyDescent="0.25">
      <c r="A11" s="76" t="s">
        <v>136</v>
      </c>
      <c r="B11" s="117" t="s">
        <v>113</v>
      </c>
      <c r="C11" s="117"/>
      <c r="D11" s="56">
        <f>'PLANILHA ORÇAMENTÁRIA'!M13</f>
        <v>2646.625</v>
      </c>
      <c r="E11" s="57">
        <f>(D11*100)/D57</f>
        <v>0.7554722149769334</v>
      </c>
      <c r="F11" s="58">
        <v>100</v>
      </c>
      <c r="G11" s="59"/>
      <c r="H11" s="59"/>
      <c r="I11" s="60">
        <f t="shared" si="0"/>
        <v>100</v>
      </c>
      <c r="J11" s="58">
        <v>0</v>
      </c>
      <c r="K11" s="59"/>
      <c r="L11" s="59"/>
      <c r="M11" s="60">
        <f t="shared" si="1"/>
        <v>100</v>
      </c>
      <c r="N11" s="58">
        <v>0</v>
      </c>
      <c r="O11" s="59"/>
      <c r="P11" s="59"/>
      <c r="Q11" s="60">
        <f t="shared" si="2"/>
        <v>100</v>
      </c>
    </row>
    <row r="12" spans="1:17" ht="34" customHeight="1" x14ac:dyDescent="0.25">
      <c r="A12" s="76" t="s">
        <v>137</v>
      </c>
      <c r="B12" s="117" t="s">
        <v>115</v>
      </c>
      <c r="C12" s="117"/>
      <c r="D12" s="56">
        <f>'PLANILHA ORÇAMENTÁRIA'!M14</f>
        <v>4713.0000000000009</v>
      </c>
      <c r="E12" s="57">
        <f>(D12*100)/D57</f>
        <v>1.3453135783068202</v>
      </c>
      <c r="F12" s="58">
        <v>50</v>
      </c>
      <c r="G12" s="59"/>
      <c r="H12" s="59"/>
      <c r="I12" s="60">
        <f t="shared" si="0"/>
        <v>50</v>
      </c>
      <c r="J12" s="58">
        <v>25</v>
      </c>
      <c r="K12" s="59"/>
      <c r="L12" s="59"/>
      <c r="M12" s="60">
        <f t="shared" si="1"/>
        <v>75</v>
      </c>
      <c r="N12" s="58">
        <v>25</v>
      </c>
      <c r="O12" s="59"/>
      <c r="P12" s="59"/>
      <c r="Q12" s="60">
        <f t="shared" si="2"/>
        <v>100</v>
      </c>
    </row>
    <row r="13" spans="1:17" ht="37" customHeight="1" x14ac:dyDescent="0.25">
      <c r="A13" s="76" t="s">
        <v>138</v>
      </c>
      <c r="B13" s="117" t="s">
        <v>116</v>
      </c>
      <c r="C13" s="117"/>
      <c r="D13" s="56">
        <f>'PLANILHA ORÇAMENTÁRIA'!M15</f>
        <v>16500</v>
      </c>
      <c r="E13" s="57">
        <f>(D13*100)/D57</f>
        <v>4.7098820373567847</v>
      </c>
      <c r="F13" s="58">
        <v>50</v>
      </c>
      <c r="G13" s="59"/>
      <c r="H13" s="59"/>
      <c r="I13" s="60">
        <f t="shared" si="0"/>
        <v>50</v>
      </c>
      <c r="J13" s="58">
        <v>25</v>
      </c>
      <c r="K13" s="59"/>
      <c r="L13" s="59"/>
      <c r="M13" s="60">
        <f t="shared" si="1"/>
        <v>75</v>
      </c>
      <c r="N13" s="58">
        <v>25</v>
      </c>
      <c r="O13" s="59"/>
      <c r="P13" s="59"/>
      <c r="Q13" s="60">
        <f t="shared" si="2"/>
        <v>100</v>
      </c>
    </row>
    <row r="14" spans="1:17" ht="61.5" customHeight="1" x14ac:dyDescent="0.25">
      <c r="A14" s="76" t="s">
        <v>99</v>
      </c>
      <c r="B14" s="117" t="s">
        <v>212</v>
      </c>
      <c r="C14" s="117"/>
      <c r="D14" s="56">
        <f>'PLANILHA ORÇAMENTÁRIA'!M16</f>
        <v>830.47499999999991</v>
      </c>
      <c r="E14" s="57">
        <f>(D14*100)/D57</f>
        <v>0.23705692636205306</v>
      </c>
      <c r="F14" s="58">
        <v>100</v>
      </c>
      <c r="G14" s="59"/>
      <c r="H14" s="59"/>
      <c r="I14" s="60">
        <f t="shared" si="0"/>
        <v>100</v>
      </c>
      <c r="J14" s="58">
        <v>0</v>
      </c>
      <c r="K14" s="59"/>
      <c r="L14" s="59"/>
      <c r="M14" s="60">
        <f t="shared" si="1"/>
        <v>100</v>
      </c>
      <c r="N14" s="58">
        <v>0</v>
      </c>
      <c r="O14" s="59"/>
      <c r="P14" s="59"/>
      <c r="Q14" s="60">
        <f t="shared" si="2"/>
        <v>100</v>
      </c>
    </row>
    <row r="15" spans="1:17" ht="36" customHeight="1" x14ac:dyDescent="0.25">
      <c r="A15" s="76" t="s">
        <v>139</v>
      </c>
      <c r="B15" s="117" t="s">
        <v>211</v>
      </c>
      <c r="C15" s="117"/>
      <c r="D15" s="56">
        <f>'PLANILHA ORÇAMENTÁRIA'!M17</f>
        <v>100.14374999999998</v>
      </c>
      <c r="E15" s="57">
        <f>(D15*100)/D57</f>
        <v>2.858577268354839E-2</v>
      </c>
      <c r="F15" s="58">
        <v>100</v>
      </c>
      <c r="G15" s="59"/>
      <c r="H15" s="59"/>
      <c r="I15" s="60">
        <f t="shared" si="0"/>
        <v>100</v>
      </c>
      <c r="J15" s="58">
        <v>0</v>
      </c>
      <c r="K15" s="59"/>
      <c r="L15" s="59"/>
      <c r="M15" s="60">
        <f t="shared" si="1"/>
        <v>100</v>
      </c>
      <c r="N15" s="58">
        <v>0</v>
      </c>
      <c r="O15" s="59"/>
      <c r="P15" s="59"/>
      <c r="Q15" s="60">
        <f t="shared" si="2"/>
        <v>100</v>
      </c>
    </row>
    <row r="16" spans="1:17" ht="87" customHeight="1" x14ac:dyDescent="0.25">
      <c r="A16" s="76" t="s">
        <v>140</v>
      </c>
      <c r="B16" s="117" t="s">
        <v>213</v>
      </c>
      <c r="C16" s="117"/>
      <c r="D16" s="56">
        <f>'PLANILHA ORÇAMENTÁRIA'!M18</f>
        <v>1257.6000000000001</v>
      </c>
      <c r="E16" s="57">
        <f>(D16*100)/D57</f>
        <v>0.35897864546544811</v>
      </c>
      <c r="F16" s="58">
        <v>100</v>
      </c>
      <c r="G16" s="59"/>
      <c r="H16" s="59"/>
      <c r="I16" s="60">
        <f t="shared" si="0"/>
        <v>100</v>
      </c>
      <c r="J16" s="58">
        <v>0</v>
      </c>
      <c r="K16" s="59"/>
      <c r="L16" s="59"/>
      <c r="M16" s="60">
        <f t="shared" si="1"/>
        <v>100</v>
      </c>
      <c r="N16" s="58">
        <v>0</v>
      </c>
      <c r="O16" s="59"/>
      <c r="P16" s="59"/>
      <c r="Q16" s="60">
        <f t="shared" si="2"/>
        <v>100</v>
      </c>
    </row>
    <row r="17" spans="1:17" ht="106" customHeight="1" x14ac:dyDescent="0.25">
      <c r="A17" s="76" t="s">
        <v>141</v>
      </c>
      <c r="B17" s="118" t="s">
        <v>214</v>
      </c>
      <c r="C17" s="119"/>
      <c r="D17" s="56">
        <f>'PLANILHA ORÇAMENTÁRIA'!M19</f>
        <v>1604.6625000000001</v>
      </c>
      <c r="E17" s="57">
        <f>(D17*100)/D57</f>
        <v>0.45804673241030497</v>
      </c>
      <c r="F17" s="58">
        <v>100</v>
      </c>
      <c r="G17" s="59"/>
      <c r="H17" s="59"/>
      <c r="I17" s="60">
        <f t="shared" si="0"/>
        <v>100</v>
      </c>
      <c r="J17" s="58"/>
      <c r="K17" s="59"/>
      <c r="L17" s="59"/>
      <c r="M17" s="60">
        <f t="shared" si="1"/>
        <v>100</v>
      </c>
      <c r="N17" s="58"/>
      <c r="O17" s="59"/>
      <c r="P17" s="59"/>
      <c r="Q17" s="60">
        <f t="shared" si="2"/>
        <v>100</v>
      </c>
    </row>
    <row r="18" spans="1:17" ht="49.5" customHeight="1" x14ac:dyDescent="0.25">
      <c r="A18" s="76" t="s">
        <v>142</v>
      </c>
      <c r="B18" s="117" t="s">
        <v>203</v>
      </c>
      <c r="C18" s="117"/>
      <c r="D18" s="56">
        <f>'PLANILHA ORÇAMENTÁRIA'!M20</f>
        <v>898.5</v>
      </c>
      <c r="E18" s="57">
        <f>(D18*100)/D57</f>
        <v>0.2564744854887922</v>
      </c>
      <c r="F18" s="58">
        <v>100</v>
      </c>
      <c r="G18" s="59"/>
      <c r="H18" s="59"/>
      <c r="I18" s="60">
        <f t="shared" si="0"/>
        <v>100</v>
      </c>
      <c r="J18" s="58">
        <v>0</v>
      </c>
      <c r="K18" s="59"/>
      <c r="L18" s="59"/>
      <c r="M18" s="60">
        <f t="shared" si="1"/>
        <v>100</v>
      </c>
      <c r="N18" s="58">
        <v>0</v>
      </c>
      <c r="O18" s="59"/>
      <c r="P18" s="59"/>
      <c r="Q18" s="60">
        <f t="shared" si="2"/>
        <v>100</v>
      </c>
    </row>
    <row r="19" spans="1:17" ht="57.5" customHeight="1" x14ac:dyDescent="0.25">
      <c r="A19" s="76" t="s">
        <v>143</v>
      </c>
      <c r="B19" s="117" t="s">
        <v>120</v>
      </c>
      <c r="C19" s="117"/>
      <c r="D19" s="56">
        <f>'PLANILHA ORÇAMENTÁRIA'!M21</f>
        <v>4016.7000000000003</v>
      </c>
      <c r="E19" s="57">
        <f>(D19*100)/D57</f>
        <v>1.1465565563303635</v>
      </c>
      <c r="F19" s="58">
        <v>100</v>
      </c>
      <c r="G19" s="59"/>
      <c r="H19" s="59"/>
      <c r="I19" s="60">
        <f t="shared" si="0"/>
        <v>100</v>
      </c>
      <c r="J19" s="58">
        <v>0</v>
      </c>
      <c r="K19" s="59"/>
      <c r="L19" s="59"/>
      <c r="M19" s="60">
        <f t="shared" si="1"/>
        <v>100</v>
      </c>
      <c r="N19" s="58">
        <v>0</v>
      </c>
      <c r="O19" s="59"/>
      <c r="P19" s="59"/>
      <c r="Q19" s="60">
        <f t="shared" si="2"/>
        <v>100</v>
      </c>
    </row>
    <row r="20" spans="1:17" ht="31.5" customHeight="1" x14ac:dyDescent="0.25">
      <c r="A20" s="76" t="s">
        <v>144</v>
      </c>
      <c r="B20" s="117" t="s">
        <v>215</v>
      </c>
      <c r="C20" s="117"/>
      <c r="D20" s="56">
        <f>'PLANILHA ORÇAMENTÁRIA'!M22</f>
        <v>5340.9999999999991</v>
      </c>
      <c r="E20" s="57">
        <f>(D20*100)/D57</f>
        <v>1.5245745431225808</v>
      </c>
      <c r="F20" s="58">
        <v>100</v>
      </c>
      <c r="G20" s="59"/>
      <c r="H20" s="59"/>
      <c r="I20" s="60">
        <f t="shared" si="0"/>
        <v>100</v>
      </c>
      <c r="J20" s="58">
        <v>0</v>
      </c>
      <c r="K20" s="59"/>
      <c r="L20" s="59"/>
      <c r="M20" s="60">
        <f t="shared" si="1"/>
        <v>100</v>
      </c>
      <c r="N20" s="58">
        <v>0</v>
      </c>
      <c r="O20" s="59"/>
      <c r="P20" s="59"/>
      <c r="Q20" s="60">
        <f t="shared" si="2"/>
        <v>100</v>
      </c>
    </row>
    <row r="21" spans="1:17" ht="47.5" customHeight="1" x14ac:dyDescent="0.25">
      <c r="A21" s="81" t="s">
        <v>145</v>
      </c>
      <c r="B21" s="117" t="s">
        <v>62</v>
      </c>
      <c r="C21" s="117"/>
      <c r="D21" s="56">
        <f>'PLANILHA ORÇAMENTÁRIA'!M24</f>
        <v>6301.2375000000002</v>
      </c>
      <c r="E21" s="57">
        <f>(D21*100)/D57</f>
        <v>1.7986718372344834</v>
      </c>
      <c r="F21" s="58">
        <v>100</v>
      </c>
      <c r="G21" s="59"/>
      <c r="H21" s="59"/>
      <c r="I21" s="60">
        <f t="shared" si="0"/>
        <v>100</v>
      </c>
      <c r="J21" s="58">
        <v>0</v>
      </c>
      <c r="K21" s="59"/>
      <c r="L21" s="59"/>
      <c r="M21" s="60">
        <f t="shared" si="1"/>
        <v>100</v>
      </c>
      <c r="N21" s="58">
        <v>0</v>
      </c>
      <c r="O21" s="59"/>
      <c r="P21" s="59"/>
      <c r="Q21" s="60">
        <f t="shared" si="2"/>
        <v>100</v>
      </c>
    </row>
    <row r="22" spans="1:17" ht="35.5" customHeight="1" x14ac:dyDescent="0.25">
      <c r="A22" s="81" t="s">
        <v>146</v>
      </c>
      <c r="B22" s="117" t="s">
        <v>59</v>
      </c>
      <c r="C22" s="117"/>
      <c r="D22" s="56">
        <f>'PLANILHA ORÇAMENTÁRIA'!M25</f>
        <v>26473.592499999999</v>
      </c>
      <c r="E22" s="57">
        <f>(D22*100)/D57</f>
        <v>7.5568180472759581</v>
      </c>
      <c r="F22" s="58">
        <v>0</v>
      </c>
      <c r="G22" s="59"/>
      <c r="H22" s="59"/>
      <c r="I22" s="60">
        <f t="shared" si="0"/>
        <v>0</v>
      </c>
      <c r="J22" s="58">
        <v>100</v>
      </c>
      <c r="K22" s="59"/>
      <c r="L22" s="59"/>
      <c r="M22" s="60">
        <f t="shared" si="1"/>
        <v>100</v>
      </c>
      <c r="N22" s="58">
        <v>0</v>
      </c>
      <c r="O22" s="59"/>
      <c r="P22" s="59"/>
      <c r="Q22" s="60">
        <f t="shared" si="2"/>
        <v>100</v>
      </c>
    </row>
    <row r="23" spans="1:17" ht="38" customHeight="1" x14ac:dyDescent="0.25">
      <c r="A23" s="81" t="s">
        <v>147</v>
      </c>
      <c r="B23" s="117" t="s">
        <v>67</v>
      </c>
      <c r="C23" s="117"/>
      <c r="D23" s="56">
        <f>'PLANILHA ORÇAMENTÁRIA'!M26</f>
        <v>4917.82</v>
      </c>
      <c r="E23" s="57">
        <f>(D23*100)/D57</f>
        <v>1.4037789139972088</v>
      </c>
      <c r="F23" s="58">
        <v>0</v>
      </c>
      <c r="G23" s="59"/>
      <c r="H23" s="59"/>
      <c r="I23" s="60">
        <f t="shared" si="0"/>
        <v>0</v>
      </c>
      <c r="J23" s="58">
        <v>0</v>
      </c>
      <c r="K23" s="59"/>
      <c r="L23" s="59"/>
      <c r="M23" s="60">
        <f t="shared" si="1"/>
        <v>0</v>
      </c>
      <c r="N23" s="58">
        <v>100</v>
      </c>
      <c r="O23" s="59"/>
      <c r="P23" s="59"/>
      <c r="Q23" s="60">
        <f t="shared" si="2"/>
        <v>100</v>
      </c>
    </row>
    <row r="24" spans="1:17" ht="38" customHeight="1" x14ac:dyDescent="0.25">
      <c r="A24" s="81" t="s">
        <v>148</v>
      </c>
      <c r="B24" s="117" t="s">
        <v>64</v>
      </c>
      <c r="C24" s="117"/>
      <c r="D24" s="56">
        <f>'PLANILHA ORÇAMENTÁRIA'!M27</f>
        <v>23194.819999999996</v>
      </c>
      <c r="E24" s="57">
        <f>(D24*100)/D57</f>
        <v>6.6209009744075082</v>
      </c>
      <c r="F24" s="58">
        <v>0</v>
      </c>
      <c r="G24" s="59"/>
      <c r="H24" s="59"/>
      <c r="I24" s="60">
        <f t="shared" si="0"/>
        <v>0</v>
      </c>
      <c r="J24" s="58">
        <v>0</v>
      </c>
      <c r="K24" s="59"/>
      <c r="L24" s="59"/>
      <c r="M24" s="60">
        <f t="shared" si="1"/>
        <v>0</v>
      </c>
      <c r="N24" s="58">
        <v>100</v>
      </c>
      <c r="O24" s="59"/>
      <c r="P24" s="59"/>
      <c r="Q24" s="60">
        <f t="shared" si="2"/>
        <v>100</v>
      </c>
    </row>
    <row r="25" spans="1:17" ht="66.5" customHeight="1" x14ac:dyDescent="0.25">
      <c r="A25" s="81" t="s">
        <v>149</v>
      </c>
      <c r="B25" s="117" t="s">
        <v>235</v>
      </c>
      <c r="C25" s="117"/>
      <c r="D25" s="56">
        <f>'PLANILHA ORÇAMENTÁRIA'!M28</f>
        <v>2664.8999999999996</v>
      </c>
      <c r="E25" s="57">
        <f>(D25*100)/D57</f>
        <v>0.7606887661425511</v>
      </c>
      <c r="F25" s="58">
        <v>0</v>
      </c>
      <c r="G25" s="59"/>
      <c r="H25" s="59"/>
      <c r="I25" s="60">
        <f t="shared" si="0"/>
        <v>0</v>
      </c>
      <c r="J25" s="58">
        <v>0</v>
      </c>
      <c r="K25" s="59"/>
      <c r="L25" s="59"/>
      <c r="M25" s="60">
        <f t="shared" si="1"/>
        <v>0</v>
      </c>
      <c r="N25" s="58">
        <v>100</v>
      </c>
      <c r="O25" s="59"/>
      <c r="P25" s="59"/>
      <c r="Q25" s="60">
        <f t="shared" si="2"/>
        <v>100</v>
      </c>
    </row>
    <row r="26" spans="1:17" ht="49.5" customHeight="1" x14ac:dyDescent="0.25">
      <c r="A26" s="81" t="s">
        <v>150</v>
      </c>
      <c r="B26" s="117" t="s">
        <v>216</v>
      </c>
      <c r="C26" s="117"/>
      <c r="D26" s="56">
        <f>'PLANILHA ORÇAMENTÁRIA'!M29</f>
        <v>21.937499999999996</v>
      </c>
      <c r="E26" s="57">
        <f>(D26*100)/D57</f>
        <v>6.262002254212997E-3</v>
      </c>
      <c r="F26" s="58">
        <v>100</v>
      </c>
      <c r="G26" s="59"/>
      <c r="H26" s="59"/>
      <c r="I26" s="60">
        <f t="shared" si="0"/>
        <v>100</v>
      </c>
      <c r="J26" s="58">
        <v>0</v>
      </c>
      <c r="K26" s="59"/>
      <c r="L26" s="59"/>
      <c r="M26" s="60">
        <f t="shared" si="1"/>
        <v>100</v>
      </c>
      <c r="N26" s="58">
        <v>0</v>
      </c>
      <c r="O26" s="59"/>
      <c r="P26" s="59"/>
      <c r="Q26" s="60">
        <f t="shared" si="2"/>
        <v>100</v>
      </c>
    </row>
    <row r="27" spans="1:17" ht="49.5" customHeight="1" x14ac:dyDescent="0.25">
      <c r="A27" s="81" t="s">
        <v>151</v>
      </c>
      <c r="B27" s="117" t="s">
        <v>239</v>
      </c>
      <c r="C27" s="117"/>
      <c r="D27" s="56">
        <f>'PLANILHA ORÇAMENTÁRIA'!M30</f>
        <v>17016.548500000001</v>
      </c>
      <c r="E27" s="57">
        <f>(D27*100)/D57</f>
        <v>4.8573294616945786</v>
      </c>
      <c r="F27" s="58">
        <v>0</v>
      </c>
      <c r="G27" s="59"/>
      <c r="H27" s="59"/>
      <c r="I27" s="60">
        <f t="shared" si="0"/>
        <v>0</v>
      </c>
      <c r="J27" s="58">
        <v>0</v>
      </c>
      <c r="K27" s="59"/>
      <c r="L27" s="59"/>
      <c r="M27" s="60">
        <f t="shared" si="1"/>
        <v>0</v>
      </c>
      <c r="N27" s="58">
        <v>100</v>
      </c>
      <c r="O27" s="59"/>
      <c r="P27" s="59"/>
      <c r="Q27" s="60">
        <f t="shared" si="2"/>
        <v>100</v>
      </c>
    </row>
    <row r="28" spans="1:17" ht="64" customHeight="1" x14ac:dyDescent="0.25">
      <c r="A28" s="81" t="s">
        <v>152</v>
      </c>
      <c r="B28" s="117" t="s">
        <v>217</v>
      </c>
      <c r="C28" s="117"/>
      <c r="D28" s="56">
        <f>'PLANILHA ORÇAMENTÁRIA'!M31</f>
        <v>9573.4943312499981</v>
      </c>
      <c r="E28" s="57">
        <f>(D28*100)/D57</f>
        <v>2.7327290294237199</v>
      </c>
      <c r="F28" s="58">
        <v>0</v>
      </c>
      <c r="G28" s="59"/>
      <c r="H28" s="59"/>
      <c r="I28" s="60">
        <f t="shared" si="0"/>
        <v>0</v>
      </c>
      <c r="J28" s="58">
        <v>100</v>
      </c>
      <c r="K28" s="59"/>
      <c r="L28" s="59"/>
      <c r="M28" s="60">
        <f t="shared" si="1"/>
        <v>100</v>
      </c>
      <c r="N28" s="58">
        <v>0</v>
      </c>
      <c r="O28" s="59"/>
      <c r="P28" s="59"/>
      <c r="Q28" s="60">
        <f t="shared" si="2"/>
        <v>100</v>
      </c>
    </row>
    <row r="29" spans="1:17" ht="67" customHeight="1" x14ac:dyDescent="0.25">
      <c r="A29" s="81" t="s">
        <v>153</v>
      </c>
      <c r="B29" s="118" t="s">
        <v>218</v>
      </c>
      <c r="C29" s="119"/>
      <c r="D29" s="56">
        <f>'PLANILHA ORÇAMENTÁRIA'!M32</f>
        <v>9545.25</v>
      </c>
      <c r="E29" s="57">
        <f>(D29*100)/D57</f>
        <v>2.7246667586109004</v>
      </c>
      <c r="F29" s="58">
        <v>0</v>
      </c>
      <c r="G29" s="59"/>
      <c r="H29" s="59"/>
      <c r="I29" s="60">
        <f t="shared" si="0"/>
        <v>0</v>
      </c>
      <c r="J29" s="58">
        <v>0</v>
      </c>
      <c r="K29" s="59"/>
      <c r="L29" s="59"/>
      <c r="M29" s="60">
        <f t="shared" si="1"/>
        <v>0</v>
      </c>
      <c r="N29" s="58">
        <v>100</v>
      </c>
      <c r="O29" s="59"/>
      <c r="P29" s="59"/>
      <c r="Q29" s="60">
        <f t="shared" si="2"/>
        <v>100</v>
      </c>
    </row>
    <row r="30" spans="1:17" ht="72.5" customHeight="1" x14ac:dyDescent="0.25">
      <c r="A30" s="81" t="s">
        <v>154</v>
      </c>
      <c r="B30" s="118" t="s">
        <v>219</v>
      </c>
      <c r="C30" s="119"/>
      <c r="D30" s="56">
        <f>'PLANILHA ORÇAMENTÁRIA'!M33</f>
        <v>1815.3740000000003</v>
      </c>
      <c r="E30" s="57">
        <f>(D30*100)/D57</f>
        <v>0.51819378143542649</v>
      </c>
      <c r="F30" s="58">
        <v>100</v>
      </c>
      <c r="G30" s="59"/>
      <c r="H30" s="59"/>
      <c r="I30" s="60">
        <f t="shared" si="0"/>
        <v>100</v>
      </c>
      <c r="J30" s="58">
        <v>0</v>
      </c>
      <c r="K30" s="59"/>
      <c r="L30" s="59"/>
      <c r="M30" s="60">
        <f t="shared" si="1"/>
        <v>100</v>
      </c>
      <c r="N30" s="58">
        <v>0</v>
      </c>
      <c r="O30" s="59"/>
      <c r="P30" s="59"/>
      <c r="Q30" s="60">
        <f t="shared" si="2"/>
        <v>100</v>
      </c>
    </row>
    <row r="31" spans="1:17" ht="76" customHeight="1" x14ac:dyDescent="0.25">
      <c r="A31" s="81" t="s">
        <v>155</v>
      </c>
      <c r="B31" s="118" t="s">
        <v>220</v>
      </c>
      <c r="C31" s="119"/>
      <c r="D31" s="56">
        <f>'PLANILHA ORÇAMENTÁRIA'!M34</f>
        <v>2682.3826312500005</v>
      </c>
      <c r="E31" s="57">
        <f>(D31*100)/D57</f>
        <v>0.76567913771164886</v>
      </c>
      <c r="F31" s="58">
        <v>100</v>
      </c>
      <c r="G31" s="59"/>
      <c r="H31" s="59"/>
      <c r="I31" s="60">
        <f t="shared" si="0"/>
        <v>100</v>
      </c>
      <c r="J31" s="58">
        <v>0</v>
      </c>
      <c r="K31" s="59"/>
      <c r="L31" s="59"/>
      <c r="M31" s="60">
        <f t="shared" si="1"/>
        <v>100</v>
      </c>
      <c r="N31" s="58">
        <v>0</v>
      </c>
      <c r="O31" s="59"/>
      <c r="P31" s="59"/>
      <c r="Q31" s="60">
        <f t="shared" si="2"/>
        <v>100</v>
      </c>
    </row>
    <row r="32" spans="1:17" ht="64" customHeight="1" x14ac:dyDescent="0.25">
      <c r="A32" s="81" t="s">
        <v>156</v>
      </c>
      <c r="B32" s="118" t="s">
        <v>221</v>
      </c>
      <c r="C32" s="119"/>
      <c r="D32" s="56">
        <f>'PLANILHA ORÇAMENTÁRIA'!M35</f>
        <v>1937.0896875000001</v>
      </c>
      <c r="E32" s="57">
        <f>(D32*100)/D57</f>
        <v>0.55293720750941322</v>
      </c>
      <c r="F32" s="58">
        <v>100</v>
      </c>
      <c r="G32" s="59"/>
      <c r="H32" s="59"/>
      <c r="I32" s="60">
        <f t="shared" si="0"/>
        <v>100</v>
      </c>
      <c r="J32" s="58">
        <v>0</v>
      </c>
      <c r="K32" s="59"/>
      <c r="L32" s="59"/>
      <c r="M32" s="60">
        <f t="shared" si="1"/>
        <v>100</v>
      </c>
      <c r="N32" s="58">
        <v>0</v>
      </c>
      <c r="O32" s="59"/>
      <c r="P32" s="59"/>
      <c r="Q32" s="60">
        <f t="shared" si="2"/>
        <v>100</v>
      </c>
    </row>
    <row r="33" spans="1:17" ht="105" customHeight="1" x14ac:dyDescent="0.25">
      <c r="A33" s="81" t="s">
        <v>157</v>
      </c>
      <c r="B33" s="118" t="s">
        <v>207</v>
      </c>
      <c r="C33" s="119"/>
      <c r="D33" s="56">
        <f>'PLANILHA ORÇAMENTÁRIA'!M36</f>
        <v>3292.1394999999998</v>
      </c>
      <c r="E33" s="57">
        <f>(D33*100)/D57</f>
        <v>0.93973264821349978</v>
      </c>
      <c r="F33" s="58">
        <v>100</v>
      </c>
      <c r="G33" s="59"/>
      <c r="H33" s="59"/>
      <c r="I33" s="60">
        <f t="shared" si="0"/>
        <v>100</v>
      </c>
      <c r="J33" s="58">
        <v>0</v>
      </c>
      <c r="K33" s="59"/>
      <c r="L33" s="59"/>
      <c r="M33" s="60">
        <f t="shared" si="1"/>
        <v>100</v>
      </c>
      <c r="N33" s="58">
        <v>0</v>
      </c>
      <c r="O33" s="59"/>
      <c r="P33" s="59"/>
      <c r="Q33" s="60">
        <f t="shared" si="2"/>
        <v>100</v>
      </c>
    </row>
    <row r="34" spans="1:17" ht="31" customHeight="1" x14ac:dyDescent="0.25">
      <c r="A34" s="81" t="s">
        <v>158</v>
      </c>
      <c r="B34" s="117" t="s">
        <v>222</v>
      </c>
      <c r="C34" s="117"/>
      <c r="D34" s="56">
        <f>'PLANILHA ORÇAMENTÁRIA'!M38</f>
        <v>25046.999999999996</v>
      </c>
      <c r="E34" s="57">
        <f>(D34*100)/D57</f>
        <v>7.1496009327075987</v>
      </c>
      <c r="F34" s="58">
        <v>0</v>
      </c>
      <c r="G34" s="59"/>
      <c r="H34" s="59"/>
      <c r="I34" s="60">
        <f t="shared" si="0"/>
        <v>0</v>
      </c>
      <c r="J34" s="58">
        <v>100</v>
      </c>
      <c r="K34" s="59"/>
      <c r="L34" s="59"/>
      <c r="M34" s="60">
        <f t="shared" si="1"/>
        <v>100</v>
      </c>
      <c r="N34" s="58">
        <v>0</v>
      </c>
      <c r="O34" s="59"/>
      <c r="P34" s="59"/>
      <c r="Q34" s="60">
        <f t="shared" si="2"/>
        <v>100</v>
      </c>
    </row>
    <row r="35" spans="1:17" ht="43.5" customHeight="1" x14ac:dyDescent="0.25">
      <c r="A35" s="81" t="s">
        <v>159</v>
      </c>
      <c r="B35" s="117" t="s">
        <v>208</v>
      </c>
      <c r="C35" s="117"/>
      <c r="D35" s="56">
        <f>'PLANILHA ORÇAMENTÁRIA'!M39</f>
        <v>49437.374999999985</v>
      </c>
      <c r="E35" s="57">
        <f>(D35*100)/D57</f>
        <v>14.11176996888311</v>
      </c>
      <c r="F35" s="58">
        <v>0</v>
      </c>
      <c r="G35" s="59"/>
      <c r="H35" s="59"/>
      <c r="I35" s="60">
        <f t="shared" si="0"/>
        <v>0</v>
      </c>
      <c r="J35" s="58">
        <v>50</v>
      </c>
      <c r="K35" s="59"/>
      <c r="L35" s="59"/>
      <c r="M35" s="60">
        <f t="shared" si="1"/>
        <v>50</v>
      </c>
      <c r="N35" s="58">
        <v>50</v>
      </c>
      <c r="O35" s="59"/>
      <c r="P35" s="59"/>
      <c r="Q35" s="60">
        <f t="shared" si="2"/>
        <v>100</v>
      </c>
    </row>
    <row r="36" spans="1:17" ht="48" customHeight="1" x14ac:dyDescent="0.25">
      <c r="A36" s="81" t="s">
        <v>160</v>
      </c>
      <c r="B36" s="117" t="s">
        <v>223</v>
      </c>
      <c r="C36" s="117"/>
      <c r="D36" s="56">
        <f>'PLANILHA ORÇAMENTÁRIA'!M40</f>
        <v>1729.3800000000003</v>
      </c>
      <c r="E36" s="57">
        <f>(D36*100)/D57</f>
        <v>0.49364701804630778</v>
      </c>
      <c r="F36" s="58">
        <v>0</v>
      </c>
      <c r="G36" s="59"/>
      <c r="H36" s="59"/>
      <c r="I36" s="60">
        <f t="shared" si="0"/>
        <v>0</v>
      </c>
      <c r="J36" s="58">
        <v>0</v>
      </c>
      <c r="K36" s="59"/>
      <c r="L36" s="59"/>
      <c r="M36" s="60">
        <f t="shared" si="1"/>
        <v>0</v>
      </c>
      <c r="N36" s="58">
        <v>100</v>
      </c>
      <c r="O36" s="59"/>
      <c r="P36" s="59"/>
      <c r="Q36" s="60">
        <f t="shared" si="2"/>
        <v>100</v>
      </c>
    </row>
    <row r="37" spans="1:17" ht="59.5" customHeight="1" x14ac:dyDescent="0.25">
      <c r="A37" s="81" t="s">
        <v>161</v>
      </c>
      <c r="B37" s="117" t="s">
        <v>224</v>
      </c>
      <c r="C37" s="117"/>
      <c r="D37" s="56">
        <f>'PLANILHA ORÇAMENTÁRIA'!M41</f>
        <v>2817.1800000000003</v>
      </c>
      <c r="E37" s="57">
        <f>(D37*100)/D57</f>
        <v>0.80415669563641134</v>
      </c>
      <c r="F37" s="58">
        <v>0</v>
      </c>
      <c r="G37" s="59"/>
      <c r="H37" s="59"/>
      <c r="I37" s="60">
        <f t="shared" si="0"/>
        <v>0</v>
      </c>
      <c r="J37" s="58">
        <v>0</v>
      </c>
      <c r="K37" s="59"/>
      <c r="L37" s="59"/>
      <c r="M37" s="60">
        <f t="shared" si="1"/>
        <v>0</v>
      </c>
      <c r="N37" s="58">
        <v>100</v>
      </c>
      <c r="O37" s="59"/>
      <c r="P37" s="59"/>
      <c r="Q37" s="60">
        <f t="shared" si="2"/>
        <v>100</v>
      </c>
    </row>
    <row r="38" spans="1:17" ht="46.5" customHeight="1" x14ac:dyDescent="0.25">
      <c r="A38" s="81" t="s">
        <v>162</v>
      </c>
      <c r="B38" s="117" t="s">
        <v>230</v>
      </c>
      <c r="C38" s="117"/>
      <c r="D38" s="56">
        <f>'PLANILHA ORÇAMENTÁRIA'!M42</f>
        <v>1024.5</v>
      </c>
      <c r="E38" s="57">
        <f>(D38*100)/D57</f>
        <v>0.29244085741042586</v>
      </c>
      <c r="F38" s="58">
        <v>100</v>
      </c>
      <c r="G38" s="59"/>
      <c r="H38" s="59"/>
      <c r="I38" s="60">
        <f t="shared" si="0"/>
        <v>100</v>
      </c>
      <c r="J38" s="58">
        <v>0</v>
      </c>
      <c r="K38" s="59"/>
      <c r="L38" s="59"/>
      <c r="M38" s="60">
        <f t="shared" si="1"/>
        <v>100</v>
      </c>
      <c r="N38" s="58">
        <v>0</v>
      </c>
      <c r="O38" s="59"/>
      <c r="P38" s="59"/>
      <c r="Q38" s="60">
        <f t="shared" si="2"/>
        <v>100</v>
      </c>
    </row>
    <row r="39" spans="1:17" ht="35" customHeight="1" x14ac:dyDescent="0.25">
      <c r="A39" s="81" t="s">
        <v>163</v>
      </c>
      <c r="B39" s="117" t="s">
        <v>75</v>
      </c>
      <c r="C39" s="117"/>
      <c r="D39" s="56">
        <f>'PLANILHA ORÇAMENTÁRIA'!M43</f>
        <v>419.8125</v>
      </c>
      <c r="E39" s="57">
        <f>(D39*100)/D57</f>
        <v>0.11983438501865729</v>
      </c>
      <c r="F39" s="58">
        <v>100</v>
      </c>
      <c r="G39" s="59"/>
      <c r="H39" s="59"/>
      <c r="I39" s="60">
        <f t="shared" si="0"/>
        <v>100</v>
      </c>
      <c r="J39" s="58">
        <v>0</v>
      </c>
      <c r="K39" s="59"/>
      <c r="L39" s="59"/>
      <c r="M39" s="60">
        <f t="shared" si="1"/>
        <v>100</v>
      </c>
      <c r="N39" s="58">
        <v>0</v>
      </c>
      <c r="O39" s="59"/>
      <c r="P39" s="59"/>
      <c r="Q39" s="60">
        <f t="shared" si="2"/>
        <v>100</v>
      </c>
    </row>
    <row r="40" spans="1:17" ht="35" customHeight="1" x14ac:dyDescent="0.25">
      <c r="A40" s="81" t="s">
        <v>164</v>
      </c>
      <c r="B40" s="117" t="s">
        <v>231</v>
      </c>
      <c r="C40" s="117"/>
      <c r="D40" s="56">
        <f>'PLANILHA ORÇAMENTÁRIA'!M44</f>
        <v>4276.875</v>
      </c>
      <c r="E40" s="57">
        <f>(D40*100)/D57</f>
        <v>1.2208228326375938</v>
      </c>
      <c r="F40" s="58">
        <v>100</v>
      </c>
      <c r="G40" s="59"/>
      <c r="H40" s="59"/>
      <c r="I40" s="60">
        <f t="shared" si="0"/>
        <v>100</v>
      </c>
      <c r="J40" s="58">
        <v>0</v>
      </c>
      <c r="K40" s="59"/>
      <c r="L40" s="59"/>
      <c r="M40" s="60">
        <f t="shared" si="1"/>
        <v>100</v>
      </c>
      <c r="N40" s="58">
        <v>0</v>
      </c>
      <c r="O40" s="59"/>
      <c r="P40" s="59"/>
      <c r="Q40" s="60">
        <f t="shared" si="2"/>
        <v>100</v>
      </c>
    </row>
    <row r="41" spans="1:17" ht="63.5" customHeight="1" x14ac:dyDescent="0.25">
      <c r="A41" s="81" t="s">
        <v>165</v>
      </c>
      <c r="B41" s="117" t="s">
        <v>78</v>
      </c>
      <c r="C41" s="117"/>
      <c r="D41" s="56">
        <f>'PLANILHA ORÇAMENTÁRIA'!M45</f>
        <v>3365.25</v>
      </c>
      <c r="E41" s="57">
        <f>(D41*100)/D57</f>
        <v>0.96060185007363152</v>
      </c>
      <c r="F41" s="58">
        <v>50</v>
      </c>
      <c r="G41" s="59"/>
      <c r="H41" s="59"/>
      <c r="I41" s="60">
        <f t="shared" si="0"/>
        <v>50</v>
      </c>
      <c r="J41" s="58">
        <v>50</v>
      </c>
      <c r="K41" s="59"/>
      <c r="L41" s="59"/>
      <c r="M41" s="60">
        <f t="shared" si="1"/>
        <v>100</v>
      </c>
      <c r="N41" s="58">
        <v>0</v>
      </c>
      <c r="O41" s="59"/>
      <c r="P41" s="59"/>
      <c r="Q41" s="60">
        <f t="shared" si="2"/>
        <v>100</v>
      </c>
    </row>
    <row r="42" spans="1:17" ht="48" customHeight="1" x14ac:dyDescent="0.25">
      <c r="A42" s="81" t="s">
        <v>166</v>
      </c>
      <c r="B42" s="117" t="s">
        <v>225</v>
      </c>
      <c r="C42" s="117"/>
      <c r="D42" s="56">
        <f>'PLANILHA ORÇAMENTÁRIA'!M46</f>
        <v>662.3</v>
      </c>
      <c r="E42" s="57">
        <f>(D42*100)/D57</f>
        <v>0.18905181050553932</v>
      </c>
      <c r="F42" s="58">
        <v>100</v>
      </c>
      <c r="G42" s="59"/>
      <c r="H42" s="59"/>
      <c r="I42" s="60">
        <f t="shared" si="0"/>
        <v>100</v>
      </c>
      <c r="J42" s="58">
        <v>0</v>
      </c>
      <c r="K42" s="59"/>
      <c r="L42" s="59"/>
      <c r="M42" s="60">
        <f t="shared" si="1"/>
        <v>100</v>
      </c>
      <c r="N42" s="58">
        <v>0</v>
      </c>
      <c r="O42" s="59"/>
      <c r="P42" s="59"/>
      <c r="Q42" s="60">
        <f t="shared" si="2"/>
        <v>100</v>
      </c>
    </row>
    <row r="43" spans="1:17" ht="87" customHeight="1" x14ac:dyDescent="0.25">
      <c r="A43" s="81" t="s">
        <v>167</v>
      </c>
      <c r="B43" s="117" t="s">
        <v>226</v>
      </c>
      <c r="C43" s="117"/>
      <c r="D43" s="56">
        <f>'PLANILHA ORÇAMENTÁRIA'!M47</f>
        <v>2054.88</v>
      </c>
      <c r="E43" s="57">
        <f>(D43*100)/D57</f>
        <v>0.58656014551052793</v>
      </c>
      <c r="F43" s="58">
        <v>0</v>
      </c>
      <c r="G43" s="59"/>
      <c r="H43" s="59"/>
      <c r="I43" s="60">
        <f t="shared" si="0"/>
        <v>0</v>
      </c>
      <c r="J43" s="58">
        <v>0</v>
      </c>
      <c r="K43" s="59"/>
      <c r="L43" s="59"/>
      <c r="M43" s="60">
        <f t="shared" si="1"/>
        <v>0</v>
      </c>
      <c r="N43" s="58">
        <v>100</v>
      </c>
      <c r="O43" s="59"/>
      <c r="P43" s="59"/>
      <c r="Q43" s="60">
        <f t="shared" si="2"/>
        <v>100</v>
      </c>
    </row>
    <row r="44" spans="1:17" ht="62" customHeight="1" x14ac:dyDescent="0.25">
      <c r="A44" s="81" t="s">
        <v>168</v>
      </c>
      <c r="B44" s="117" t="s">
        <v>124</v>
      </c>
      <c r="C44" s="117"/>
      <c r="D44" s="56">
        <f>'PLANILHA ORÇAMENTÁRIA'!M48</f>
        <v>1560.9</v>
      </c>
      <c r="E44" s="57">
        <f>(D44*100)/D57</f>
        <v>0.44555484073395185</v>
      </c>
      <c r="F44" s="58">
        <v>0</v>
      </c>
      <c r="G44" s="59"/>
      <c r="H44" s="59"/>
      <c r="I44" s="60">
        <f t="shared" si="0"/>
        <v>0</v>
      </c>
      <c r="J44" s="58">
        <v>0</v>
      </c>
      <c r="K44" s="59"/>
      <c r="L44" s="59"/>
      <c r="M44" s="60">
        <f t="shared" si="1"/>
        <v>0</v>
      </c>
      <c r="N44" s="58">
        <v>100</v>
      </c>
      <c r="O44" s="59"/>
      <c r="P44" s="59"/>
      <c r="Q44" s="60">
        <f t="shared" si="2"/>
        <v>100</v>
      </c>
    </row>
    <row r="45" spans="1:17" ht="32" customHeight="1" x14ac:dyDescent="0.25">
      <c r="A45" s="81" t="s">
        <v>169</v>
      </c>
      <c r="B45" s="117" t="s">
        <v>227</v>
      </c>
      <c r="C45" s="117"/>
      <c r="D45" s="56">
        <f>'PLANILHA ORÇAMENTÁRIA'!M49</f>
        <v>322.50700000000001</v>
      </c>
      <c r="E45" s="57">
        <f>(D45*100)/D57</f>
        <v>9.2058783407383313E-2</v>
      </c>
      <c r="F45" s="58">
        <v>0</v>
      </c>
      <c r="G45" s="59"/>
      <c r="H45" s="59"/>
      <c r="I45" s="60">
        <f t="shared" si="0"/>
        <v>0</v>
      </c>
      <c r="J45" s="58">
        <v>0</v>
      </c>
      <c r="K45" s="59"/>
      <c r="L45" s="59"/>
      <c r="M45" s="60">
        <f t="shared" si="1"/>
        <v>0</v>
      </c>
      <c r="N45" s="58">
        <v>100</v>
      </c>
      <c r="O45" s="59"/>
      <c r="P45" s="59"/>
      <c r="Q45" s="60">
        <f t="shared" si="2"/>
        <v>100</v>
      </c>
    </row>
    <row r="46" spans="1:17" ht="49.5" customHeight="1" x14ac:dyDescent="0.25">
      <c r="A46" s="81" t="s">
        <v>170</v>
      </c>
      <c r="B46" s="117" t="s">
        <v>228</v>
      </c>
      <c r="C46" s="117"/>
      <c r="D46" s="56">
        <f>'PLANILHA ORÇAMENTÁRIA'!M50</f>
        <v>272.45999999999998</v>
      </c>
      <c r="E46" s="57">
        <f>(D46*100)/D57</f>
        <v>7.7772997569589664E-2</v>
      </c>
      <c r="F46" s="58">
        <v>0</v>
      </c>
      <c r="G46" s="59"/>
      <c r="H46" s="59"/>
      <c r="I46" s="60">
        <f t="shared" si="0"/>
        <v>0</v>
      </c>
      <c r="J46" s="58">
        <v>100</v>
      </c>
      <c r="K46" s="59"/>
      <c r="L46" s="59"/>
      <c r="M46" s="60">
        <f t="shared" si="1"/>
        <v>100</v>
      </c>
      <c r="N46" s="58">
        <v>0</v>
      </c>
      <c r="O46" s="59"/>
      <c r="P46" s="59"/>
      <c r="Q46" s="60">
        <f t="shared" si="2"/>
        <v>100</v>
      </c>
    </row>
    <row r="47" spans="1:17" ht="50" customHeight="1" x14ac:dyDescent="0.25">
      <c r="A47" s="81" t="s">
        <v>171</v>
      </c>
      <c r="B47" s="117" t="s">
        <v>229</v>
      </c>
      <c r="C47" s="117"/>
      <c r="D47" s="56">
        <f>'PLANILHA ORÇAMENTÁRIA'!M51</f>
        <v>156.03749999999999</v>
      </c>
      <c r="E47" s="57">
        <f>(D47*100)/D57</f>
        <v>4.4540498085094506E-2</v>
      </c>
      <c r="F47" s="58">
        <v>0</v>
      </c>
      <c r="G47" s="59"/>
      <c r="H47" s="59"/>
      <c r="I47" s="60">
        <f t="shared" si="0"/>
        <v>0</v>
      </c>
      <c r="J47" s="58">
        <v>100</v>
      </c>
      <c r="K47" s="59"/>
      <c r="L47" s="59"/>
      <c r="M47" s="60">
        <f t="shared" si="1"/>
        <v>100</v>
      </c>
      <c r="N47" s="58">
        <v>0</v>
      </c>
      <c r="O47" s="59"/>
      <c r="P47" s="59"/>
      <c r="Q47" s="60">
        <f t="shared" si="2"/>
        <v>100</v>
      </c>
    </row>
    <row r="48" spans="1:17" ht="50" customHeight="1" x14ac:dyDescent="0.25">
      <c r="A48" s="81" t="s">
        <v>172</v>
      </c>
      <c r="B48" s="117" t="s">
        <v>209</v>
      </c>
      <c r="C48" s="117"/>
      <c r="D48" s="56">
        <f>'PLANILHA ORÇAMENTÁRIA'!M52</f>
        <v>11131.999999999998</v>
      </c>
      <c r="E48" s="57">
        <f>(D48*100)/D57</f>
        <v>3.1776004145367103</v>
      </c>
      <c r="F48" s="58">
        <v>0</v>
      </c>
      <c r="G48" s="59"/>
      <c r="H48" s="59"/>
      <c r="I48" s="60">
        <f t="shared" si="0"/>
        <v>0</v>
      </c>
      <c r="J48" s="58">
        <v>100</v>
      </c>
      <c r="K48" s="59"/>
      <c r="L48" s="59"/>
      <c r="M48" s="60">
        <f t="shared" si="1"/>
        <v>100</v>
      </c>
      <c r="N48" s="58">
        <v>0</v>
      </c>
      <c r="O48" s="59"/>
      <c r="P48" s="59"/>
      <c r="Q48" s="60">
        <f t="shared" si="2"/>
        <v>100</v>
      </c>
    </row>
    <row r="49" spans="1:17" ht="61" customHeight="1" x14ac:dyDescent="0.25">
      <c r="A49" s="81" t="s">
        <v>173</v>
      </c>
      <c r="B49" s="117" t="s">
        <v>234</v>
      </c>
      <c r="C49" s="117"/>
      <c r="D49" s="56">
        <f>'PLANILHA ORÇAMENTÁRIA'!M53</f>
        <v>25098.975000000002</v>
      </c>
      <c r="E49" s="57">
        <f>(D49*100)/D57</f>
        <v>7.1644370611252732</v>
      </c>
      <c r="F49" s="58">
        <v>0</v>
      </c>
      <c r="G49" s="59"/>
      <c r="H49" s="59"/>
      <c r="I49" s="60">
        <f t="shared" si="0"/>
        <v>0</v>
      </c>
      <c r="J49" s="58">
        <v>0</v>
      </c>
      <c r="K49" s="59"/>
      <c r="L49" s="59"/>
      <c r="M49" s="60">
        <f t="shared" si="1"/>
        <v>0</v>
      </c>
      <c r="N49" s="58">
        <v>100</v>
      </c>
      <c r="O49" s="59"/>
      <c r="P49" s="59"/>
      <c r="Q49" s="60">
        <f t="shared" si="2"/>
        <v>100</v>
      </c>
    </row>
    <row r="50" spans="1:17" ht="65.5" customHeight="1" x14ac:dyDescent="0.25">
      <c r="A50" s="81" t="s">
        <v>174</v>
      </c>
      <c r="B50" s="117" t="s">
        <v>210</v>
      </c>
      <c r="C50" s="117"/>
      <c r="D50" s="56">
        <f>'PLANILHA ORÇAMENTÁRIA'!M54</f>
        <v>3114.45</v>
      </c>
      <c r="E50" s="57">
        <f>(D50*100)/D57</f>
        <v>0.88901164310580849</v>
      </c>
      <c r="F50" s="58">
        <v>0</v>
      </c>
      <c r="G50" s="59"/>
      <c r="H50" s="59"/>
      <c r="I50" s="60">
        <f t="shared" si="0"/>
        <v>0</v>
      </c>
      <c r="J50" s="58">
        <v>0</v>
      </c>
      <c r="K50" s="59"/>
      <c r="L50" s="59"/>
      <c r="M50" s="60">
        <f t="shared" si="1"/>
        <v>0</v>
      </c>
      <c r="N50" s="58">
        <v>100</v>
      </c>
      <c r="O50" s="59"/>
      <c r="P50" s="59"/>
      <c r="Q50" s="60">
        <f t="shared" si="2"/>
        <v>100</v>
      </c>
    </row>
    <row r="51" spans="1:17" ht="49" customHeight="1" x14ac:dyDescent="0.25">
      <c r="A51" s="81" t="s">
        <v>175</v>
      </c>
      <c r="B51" s="117" t="s">
        <v>100</v>
      </c>
      <c r="C51" s="117"/>
      <c r="D51" s="56">
        <f>'PLANILHA ORÇAMENTÁRIA'!M55</f>
        <v>27412.549999999996</v>
      </c>
      <c r="E51" s="57">
        <f>(D51*100)/D57</f>
        <v>7.8248410207966499</v>
      </c>
      <c r="F51" s="58">
        <v>0</v>
      </c>
      <c r="G51" s="59"/>
      <c r="H51" s="59"/>
      <c r="I51" s="60">
        <f t="shared" si="0"/>
        <v>0</v>
      </c>
      <c r="J51" s="58">
        <v>100</v>
      </c>
      <c r="K51" s="59"/>
      <c r="L51" s="59"/>
      <c r="M51" s="60">
        <f t="shared" si="1"/>
        <v>100</v>
      </c>
      <c r="N51" s="58">
        <v>0</v>
      </c>
      <c r="O51" s="59"/>
      <c r="P51" s="59"/>
      <c r="Q51" s="60">
        <f t="shared" si="2"/>
        <v>100</v>
      </c>
    </row>
    <row r="52" spans="1:17" ht="65.5" customHeight="1" x14ac:dyDescent="0.25">
      <c r="A52" s="81" t="s">
        <v>176</v>
      </c>
      <c r="B52" s="117" t="s">
        <v>236</v>
      </c>
      <c r="C52" s="117"/>
      <c r="D52" s="56">
        <f>'PLANILHA ORÇAMENTÁRIA'!M56</f>
        <v>28722.149999999998</v>
      </c>
      <c r="E52" s="57">
        <f>(D52*100)/D57</f>
        <v>8.1986629308646783</v>
      </c>
      <c r="F52" s="58">
        <v>0</v>
      </c>
      <c r="G52" s="59"/>
      <c r="H52" s="59"/>
      <c r="I52" s="60">
        <f t="shared" si="0"/>
        <v>0</v>
      </c>
      <c r="J52" s="58">
        <v>0</v>
      </c>
      <c r="K52" s="59"/>
      <c r="L52" s="59"/>
      <c r="M52" s="60">
        <f t="shared" si="1"/>
        <v>0</v>
      </c>
      <c r="N52" s="58">
        <v>100</v>
      </c>
      <c r="O52" s="59"/>
      <c r="P52" s="59"/>
      <c r="Q52" s="60">
        <f t="shared" si="2"/>
        <v>100</v>
      </c>
    </row>
    <row r="53" spans="1:17" ht="50.5" customHeight="1" x14ac:dyDescent="0.25">
      <c r="A53" s="81" t="s">
        <v>177</v>
      </c>
      <c r="B53" s="118" t="s">
        <v>238</v>
      </c>
      <c r="C53" s="119"/>
      <c r="D53" s="56">
        <f>'PLANILHA ORÇAMENTÁRIA'!M57</f>
        <v>2656.7959350000001</v>
      </c>
      <c r="E53" s="57">
        <f>(D53*100)/D57</f>
        <v>0.75837548188963788</v>
      </c>
      <c r="F53" s="58">
        <v>100</v>
      </c>
      <c r="G53" s="59"/>
      <c r="H53" s="59"/>
      <c r="I53" s="60">
        <f t="shared" si="0"/>
        <v>100</v>
      </c>
      <c r="J53" s="58">
        <v>0</v>
      </c>
      <c r="K53" s="59"/>
      <c r="L53" s="59"/>
      <c r="M53" s="60">
        <f t="shared" si="1"/>
        <v>100</v>
      </c>
      <c r="N53" s="58">
        <v>0</v>
      </c>
      <c r="O53" s="59"/>
      <c r="P53" s="59"/>
      <c r="Q53" s="60">
        <f t="shared" si="2"/>
        <v>100</v>
      </c>
    </row>
    <row r="54" spans="1:17" ht="33" customHeight="1" x14ac:dyDescent="0.25">
      <c r="A54" s="81" t="s">
        <v>178</v>
      </c>
      <c r="B54" s="118" t="s">
        <v>237</v>
      </c>
      <c r="C54" s="119"/>
      <c r="D54" s="56">
        <f>'PLANILHA ORÇAMENTÁRIA'!M58</f>
        <v>423.5</v>
      </c>
      <c r="E54" s="57">
        <f>(D54*100)/D57</f>
        <v>0.12088697229215749</v>
      </c>
      <c r="F54" s="58">
        <v>100</v>
      </c>
      <c r="G54" s="59"/>
      <c r="H54" s="59"/>
      <c r="I54" s="60">
        <f t="shared" si="0"/>
        <v>100</v>
      </c>
      <c r="J54" s="58">
        <v>0</v>
      </c>
      <c r="K54" s="59"/>
      <c r="L54" s="59"/>
      <c r="M54" s="60">
        <f t="shared" si="1"/>
        <v>100</v>
      </c>
      <c r="N54" s="58">
        <v>0</v>
      </c>
      <c r="O54" s="59"/>
      <c r="P54" s="59"/>
      <c r="Q54" s="60">
        <f t="shared" si="2"/>
        <v>100</v>
      </c>
    </row>
    <row r="55" spans="1:17" ht="77" customHeight="1" x14ac:dyDescent="0.25">
      <c r="A55" s="81" t="s">
        <v>240</v>
      </c>
      <c r="B55" s="118" t="s">
        <v>233</v>
      </c>
      <c r="C55" s="119"/>
      <c r="D55" s="56">
        <f>'PLANILHA ORÇAMENTÁRIA'!M59</f>
        <v>353.77499999999998</v>
      </c>
      <c r="E55" s="57">
        <f>(D55*100)/D57</f>
        <v>0.10098415259187252</v>
      </c>
      <c r="F55" s="58">
        <v>100</v>
      </c>
      <c r="G55" s="59"/>
      <c r="H55" s="59"/>
      <c r="I55" s="60">
        <f t="shared" si="0"/>
        <v>100</v>
      </c>
      <c r="J55" s="58">
        <v>0</v>
      </c>
      <c r="K55" s="59"/>
      <c r="L55" s="59"/>
      <c r="M55" s="60">
        <f t="shared" si="1"/>
        <v>100</v>
      </c>
      <c r="N55" s="58">
        <v>0</v>
      </c>
      <c r="O55" s="59"/>
      <c r="P55" s="59"/>
      <c r="Q55" s="60">
        <f t="shared" si="2"/>
        <v>100</v>
      </c>
    </row>
    <row r="56" spans="1:17" ht="15" x14ac:dyDescent="0.25">
      <c r="A56" s="209" t="s">
        <v>94</v>
      </c>
      <c r="B56" s="209"/>
      <c r="C56" s="209"/>
      <c r="D56" s="210">
        <f>SUM(E7:E55)</f>
        <v>100.00000000000003</v>
      </c>
      <c r="E56" s="210"/>
      <c r="F56" s="61">
        <f>SUMPRODUCT($E7:$E55,F7:F55)/100</f>
        <v>17.532406256689068</v>
      </c>
      <c r="G56" s="61"/>
      <c r="H56" s="61"/>
      <c r="I56" s="62">
        <f>F56</f>
        <v>17.532406256689068</v>
      </c>
      <c r="J56" s="63">
        <f>SUMPRODUCT($E7:$E55,J7:J55)/100</f>
        <v>38.078997989418539</v>
      </c>
      <c r="K56" s="63"/>
      <c r="L56" s="63"/>
      <c r="M56" s="64">
        <f>I56+J56</f>
        <v>55.611404246107611</v>
      </c>
      <c r="N56" s="61">
        <f>SUMPRODUCT($E7:$E55,N7:N55)/100</f>
        <v>44.388595753892396</v>
      </c>
      <c r="O56" s="61"/>
      <c r="P56" s="61"/>
      <c r="Q56" s="62">
        <f>M56+N56</f>
        <v>100</v>
      </c>
    </row>
    <row r="57" spans="1:17" ht="15" x14ac:dyDescent="0.25">
      <c r="A57" s="209" t="s">
        <v>95</v>
      </c>
      <c r="B57" s="209"/>
      <c r="C57" s="209"/>
      <c r="D57" s="211">
        <f>SUM(D7:D55)</f>
        <v>350327.24533499999</v>
      </c>
      <c r="E57" s="211">
        <f>SUM(E7:E55)</f>
        <v>100.00000000000003</v>
      </c>
      <c r="F57" s="65">
        <f>SUMPRODUCT($D7:$D55,F7:F55)/100</f>
        <v>61420.795880000012</v>
      </c>
      <c r="G57" s="65"/>
      <c r="H57" s="65"/>
      <c r="I57" s="66">
        <f>F57</f>
        <v>61420.795880000012</v>
      </c>
      <c r="J57" s="67">
        <f>SUMPRODUCT($D7:$D55,J7:J55)/100</f>
        <v>133401.10470749997</v>
      </c>
      <c r="K57" s="67"/>
      <c r="L57" s="67"/>
      <c r="M57" s="68">
        <f>I57+J57</f>
        <v>194821.90058749999</v>
      </c>
      <c r="N57" s="65">
        <f>SUMPRODUCT($D7:$D55,N7:N55)/100</f>
        <v>155505.34474749997</v>
      </c>
      <c r="O57" s="65"/>
      <c r="P57" s="65"/>
      <c r="Q57" s="66">
        <f>M57+N57</f>
        <v>350327.24533499999</v>
      </c>
    </row>
    <row r="58" spans="1:17" ht="20" customHeight="1" x14ac:dyDescent="0.3">
      <c r="A58" s="214"/>
      <c r="B58" s="215"/>
      <c r="C58" s="215"/>
      <c r="D58" s="215"/>
      <c r="E58" s="215"/>
      <c r="F58" s="215"/>
      <c r="G58" s="215"/>
      <c r="H58" s="215"/>
      <c r="I58" s="215"/>
      <c r="J58" s="215"/>
      <c r="K58" s="54"/>
      <c r="L58" s="54"/>
      <c r="M58" s="212" t="s">
        <v>195</v>
      </c>
      <c r="N58" s="212"/>
      <c r="O58" s="212"/>
      <c r="P58" s="212"/>
      <c r="Q58" s="213"/>
    </row>
    <row r="59" spans="1:17" ht="20" customHeight="1" x14ac:dyDescent="0.3">
      <c r="A59" s="214"/>
      <c r="B59" s="215"/>
      <c r="C59" s="215"/>
      <c r="D59" s="215"/>
      <c r="E59" s="215"/>
      <c r="F59" s="215"/>
      <c r="G59" s="215"/>
      <c r="H59" s="215"/>
      <c r="I59" s="215"/>
      <c r="J59" s="215"/>
      <c r="K59" s="54"/>
      <c r="L59" s="54"/>
      <c r="M59" s="55"/>
      <c r="N59" s="55"/>
      <c r="O59" s="55"/>
      <c r="P59" s="55"/>
      <c r="Q59" s="70"/>
    </row>
    <row r="60" spans="1:17" ht="14" x14ac:dyDescent="0.3">
      <c r="A60" s="71"/>
      <c r="B60" s="51"/>
      <c r="C60" s="208" t="s">
        <v>34</v>
      </c>
      <c r="D60" s="208"/>
      <c r="E60" s="208"/>
      <c r="F60" s="208" t="s">
        <v>34</v>
      </c>
      <c r="G60" s="208"/>
      <c r="H60" s="208"/>
      <c r="I60" s="208"/>
      <c r="J60" s="208"/>
      <c r="K60" s="208"/>
      <c r="L60" s="208"/>
      <c r="M60" s="208"/>
      <c r="N60" s="69"/>
      <c r="O60" s="53"/>
      <c r="P60" s="53"/>
      <c r="Q60" s="72"/>
    </row>
    <row r="61" spans="1:17" ht="14" x14ac:dyDescent="0.25">
      <c r="A61" s="71"/>
      <c r="B61" s="51"/>
      <c r="C61" s="216" t="s">
        <v>33</v>
      </c>
      <c r="D61" s="216"/>
      <c r="E61" s="216"/>
      <c r="F61" s="217" t="s">
        <v>40</v>
      </c>
      <c r="G61" s="217"/>
      <c r="H61" s="217"/>
      <c r="I61" s="217"/>
      <c r="J61" s="217"/>
      <c r="K61" s="217"/>
      <c r="L61" s="217"/>
      <c r="M61" s="217"/>
      <c r="N61" s="223"/>
      <c r="O61" s="223"/>
      <c r="P61" s="223"/>
      <c r="Q61" s="224"/>
    </row>
    <row r="62" spans="1:17" ht="14" x14ac:dyDescent="0.25">
      <c r="A62" s="73"/>
      <c r="B62" s="52"/>
      <c r="C62" s="218" t="s">
        <v>36</v>
      </c>
      <c r="D62" s="218"/>
      <c r="E62" s="218"/>
      <c r="F62" s="219" t="s">
        <v>35</v>
      </c>
      <c r="G62" s="219"/>
      <c r="H62" s="219"/>
      <c r="I62" s="219"/>
      <c r="J62" s="219"/>
      <c r="K62" s="219"/>
      <c r="L62" s="219"/>
      <c r="M62" s="219"/>
      <c r="N62" s="223"/>
      <c r="O62" s="223"/>
      <c r="P62" s="223"/>
      <c r="Q62" s="224"/>
    </row>
    <row r="63" spans="1:17" x14ac:dyDescent="0.25">
      <c r="A63" s="220"/>
      <c r="B63" s="221"/>
      <c r="C63" s="221"/>
      <c r="D63" s="221"/>
      <c r="E63" s="221"/>
      <c r="F63" s="221"/>
      <c r="G63" s="221"/>
      <c r="H63" s="221"/>
      <c r="I63" s="221"/>
      <c r="J63" s="221"/>
      <c r="K63" s="221"/>
      <c r="L63" s="221"/>
      <c r="M63" s="221"/>
      <c r="N63" s="221"/>
      <c r="O63" s="221"/>
      <c r="P63" s="221"/>
      <c r="Q63" s="222"/>
    </row>
  </sheetData>
  <mergeCells count="76">
    <mergeCell ref="B39:C39"/>
    <mergeCell ref="A1:M1"/>
    <mergeCell ref="N1:Q4"/>
    <mergeCell ref="B5:C6"/>
    <mergeCell ref="B55:C55"/>
    <mergeCell ref="A2:C2"/>
    <mergeCell ref="A3:C3"/>
    <mergeCell ref="A4:C4"/>
    <mergeCell ref="D2:F2"/>
    <mergeCell ref="D3:F3"/>
    <mergeCell ref="D4:F4"/>
    <mergeCell ref="B50:C50"/>
    <mergeCell ref="B51:C51"/>
    <mergeCell ref="B52:C52"/>
    <mergeCell ref="B53:C53"/>
    <mergeCell ref="B54:C54"/>
    <mergeCell ref="B45:C45"/>
    <mergeCell ref="B46:C46"/>
    <mergeCell ref="B47:C47"/>
    <mergeCell ref="B48:C48"/>
    <mergeCell ref="B49:C49"/>
    <mergeCell ref="B40:C40"/>
    <mergeCell ref="B41:C41"/>
    <mergeCell ref="B42:C42"/>
    <mergeCell ref="B43:C43"/>
    <mergeCell ref="B44:C44"/>
    <mergeCell ref="B34:C34"/>
    <mergeCell ref="B35:C35"/>
    <mergeCell ref="B36:C36"/>
    <mergeCell ref="B37:C37"/>
    <mergeCell ref="B38:C38"/>
    <mergeCell ref="B29:C29"/>
    <mergeCell ref="B30:C30"/>
    <mergeCell ref="B31:C31"/>
    <mergeCell ref="B32:C32"/>
    <mergeCell ref="B33:C33"/>
    <mergeCell ref="B24:C24"/>
    <mergeCell ref="B25:C25"/>
    <mergeCell ref="B26:C26"/>
    <mergeCell ref="B27:C27"/>
    <mergeCell ref="B28:C28"/>
    <mergeCell ref="B20:C20"/>
    <mergeCell ref="B21:C21"/>
    <mergeCell ref="B22:C22"/>
    <mergeCell ref="B23:C23"/>
    <mergeCell ref="B15:C15"/>
    <mergeCell ref="B16:C16"/>
    <mergeCell ref="B17:C17"/>
    <mergeCell ref="B18:C18"/>
    <mergeCell ref="B19:C19"/>
    <mergeCell ref="B10:C10"/>
    <mergeCell ref="B11:C11"/>
    <mergeCell ref="B12:C12"/>
    <mergeCell ref="B13:C13"/>
    <mergeCell ref="B14:C14"/>
    <mergeCell ref="C61:E61"/>
    <mergeCell ref="F61:M61"/>
    <mergeCell ref="C62:E62"/>
    <mergeCell ref="F62:M62"/>
    <mergeCell ref="A63:Q63"/>
    <mergeCell ref="N61:Q62"/>
    <mergeCell ref="C60:E60"/>
    <mergeCell ref="F60:M60"/>
    <mergeCell ref="A56:C56"/>
    <mergeCell ref="D56:E56"/>
    <mergeCell ref="A57:C57"/>
    <mergeCell ref="D57:E57"/>
    <mergeCell ref="M58:Q58"/>
    <mergeCell ref="A58:J59"/>
    <mergeCell ref="A5:A6"/>
    <mergeCell ref="B7:C7"/>
    <mergeCell ref="B8:C8"/>
    <mergeCell ref="B9:C9"/>
    <mergeCell ref="I2:M2"/>
    <mergeCell ref="I3:M3"/>
    <mergeCell ref="I4:J4"/>
  </mergeCells>
  <printOptions horizontalCentered="1" verticalCentered="1"/>
  <pageMargins left="0.11811023622047245" right="0.11811023622047245" top="0.19685039370078741" bottom="0.19685039370078741" header="0" footer="0"/>
  <pageSetup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5</vt:i4>
      </vt:variant>
    </vt:vector>
  </HeadingPairs>
  <TitlesOfParts>
    <vt:vector size="8" baseType="lpstr">
      <vt:lpstr>PLANILHA ORÇAMENTÁRIA</vt:lpstr>
      <vt:lpstr>CÁLCULO DO BDI</vt:lpstr>
      <vt:lpstr>CRONOGRAMA FÍSICO-FINANCEIRO</vt:lpstr>
      <vt:lpstr>'CÁLCULO DO BDI'!Area_de_impressao</vt:lpstr>
      <vt:lpstr>'PLANILHA ORÇAMENTÁRIA'!Area_de_impressao</vt:lpstr>
      <vt:lpstr>'CÁLCULO DO BDI'!Print_Area</vt:lpstr>
      <vt:lpstr>'PLANILHA ORÇAMENTÁRIA'!Print_Area</vt:lpstr>
      <vt:lpstr>'PLANILHA ORÇAMENTÁRIA'!Print_Titles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NB01</dc:creator>
  <cp:lastModifiedBy>Danyel Neres</cp:lastModifiedBy>
  <cp:revision/>
  <cp:lastPrinted>2021-08-30T19:58:34Z</cp:lastPrinted>
  <dcterms:created xsi:type="dcterms:W3CDTF">2015-12-16T16:22:20Z</dcterms:created>
  <dcterms:modified xsi:type="dcterms:W3CDTF">2021-08-30T20:05:54Z</dcterms:modified>
</cp:coreProperties>
</file>