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85" activeTab="0"/>
  </bookViews>
  <sheets>
    <sheet name="Orçamento" sheetId="1" r:id="rId1"/>
    <sheet name="Cronograma" sheetId="2" r:id="rId2"/>
    <sheet name="BDI" sheetId="3" r:id="rId3"/>
  </sheets>
  <definedNames>
    <definedName name="Excel_BuiltIn_Print_Area" localSheetId="2">'BDI'!$C$1:$K$31</definedName>
    <definedName name="Excel_BuiltIn_Print_Area" localSheetId="0">'Orçamento'!$A$1:$H$65363</definedName>
    <definedName name="Excel_BuiltIn_Print_Titles" localSheetId="1">('BDI'!$A$1:$D$65523,'Cronograma'!$A$1:$HT$5)</definedName>
    <definedName name="_xlnm.Print_Area" localSheetId="2">'BDI'!$B$1:$J$31</definedName>
    <definedName name="_xlnm.Print_Area" localSheetId="0">'Orçamento'!$A$1:$H$92</definedName>
    <definedName name="_xlnm.Print_Titles" localSheetId="1">('Cronograma'!$A:$D,'Cronograma'!$1:$5)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<sst xmlns="http://schemas.openxmlformats.org/spreadsheetml/2006/main" count="267" uniqueCount="185">
  <si>
    <t>PLANILHA  DE  ORÇAMENTO</t>
  </si>
  <si>
    <t>DATA: MAIO/2020</t>
  </si>
  <si>
    <t xml:space="preserve">                                                                                            </t>
  </si>
  <si>
    <t>LOCAL: COMPLEXO MILITAR DA GAMELEIRA - SUBSTITUIÇÃO DAS TUBULAÇÕES DA REDE DE DISTRIBUIÇÃO DE ÁGUA FRIA</t>
  </si>
  <si>
    <t>ENDEREÇO: AV. AMAZONAS 6455 , BH/MG                 PRAZO DE EXECUÇÃO CONSIDERADO: 02 MESES</t>
  </si>
  <si>
    <t>ITEM</t>
  </si>
  <si>
    <t>DESCRIÇÃO MÍNIMA DOS SERVIÇOS</t>
  </si>
  <si>
    <t>UNID</t>
  </si>
  <si>
    <t>QUANT.</t>
  </si>
  <si>
    <t>PR. UNIT. S/ BDI</t>
  </si>
  <si>
    <t>PR. TOTAL. S/ BDI</t>
  </si>
  <si>
    <t>PR. UNIT. C/ BDI</t>
  </si>
  <si>
    <t>PR. TOTAL C/ BDI</t>
  </si>
  <si>
    <t>SERVIÇOS PRELIMINARES</t>
  </si>
  <si>
    <t>SUB-TOTAL</t>
  </si>
  <si>
    <t>01.01</t>
  </si>
  <si>
    <t>Despesas decorridas da Mobilização e Desmobilização de equipamentos e pessoal. Seguir Memorial Descritivo.</t>
  </si>
  <si>
    <t>01.02</t>
  </si>
  <si>
    <t>Montagem do barracão de obra com vestiário, refeitório, almoxarifado. Seguir Memorial Descritivo.</t>
  </si>
  <si>
    <t>01.03</t>
  </si>
  <si>
    <t>Fornecimento e colocação de placa do empreendimento plotada em vinil (2,00 x 1,50 m) conforme memorial descritivo.</t>
  </si>
  <si>
    <t>01.04</t>
  </si>
  <si>
    <t>Administração Local com Engenheiro residente – o tempo de trabalhado deverá ser observado no memorial descritivo.</t>
  </si>
  <si>
    <t>MÊS</t>
  </si>
  <si>
    <t>01.05</t>
  </si>
  <si>
    <t>Ligação provisória de água e esgoto</t>
  </si>
  <si>
    <t>01.06</t>
  </si>
  <si>
    <t>Ligação provisória de energia elétrica</t>
  </si>
  <si>
    <t>2</t>
  </si>
  <si>
    <t>DEMOLIÇÃO E MOVIMENTAÇÃO DE TERRA</t>
  </si>
  <si>
    <t>02.01</t>
  </si>
  <si>
    <t>Demolição de pavimento asfáltico com utilização de martelo perfurador, espessura até 15 cm e marcação no piso com cortadora de piso, inclusive carga e transporte.</t>
  </si>
  <si>
    <t>M²</t>
  </si>
  <si>
    <t>02.02</t>
  </si>
  <si>
    <t>Demolição de piso em concreto marcação no piso com cortadora de piso, inclusive carga e transporte.</t>
  </si>
  <si>
    <t>M³</t>
  </si>
  <si>
    <t>02.03</t>
  </si>
  <si>
    <t xml:space="preserve">Demolição de pavimento intertravado, de forma manual, com reaproveitamento. </t>
  </si>
  <si>
    <t>02.04</t>
  </si>
  <si>
    <t>Demolição de pavimento revestido em pedra miracema, de forma mecanizada, com martelete, sem reaproveitamento.</t>
  </si>
  <si>
    <t>02.05</t>
  </si>
  <si>
    <t>Escavação manual de terra (desaterro manual).</t>
  </si>
  <si>
    <t>02.06</t>
  </si>
  <si>
    <t>Acerto e compactação manual no fundo de valas.</t>
  </si>
  <si>
    <t>02.07</t>
  </si>
  <si>
    <t>Reaterro de valas e compactação manual, com soquete.</t>
  </si>
  <si>
    <t>02.08</t>
  </si>
  <si>
    <t>Reaterro de valas e compactação mecanizada.</t>
  </si>
  <si>
    <t>02.09</t>
  </si>
  <si>
    <t>Reaterro de valas com fornecimento de bica corrida e compactação mecânica, em camada de 20 cm de espessura.</t>
  </si>
  <si>
    <t>3</t>
  </si>
  <si>
    <t>TUBOS E CONEXÕES HIDROSSANITÁRIOS</t>
  </si>
  <si>
    <t>03.01</t>
  </si>
  <si>
    <t>Tubos e conexões para redes em sistemas aterrados de distribuição</t>
  </si>
  <si>
    <t>03.01.01</t>
  </si>
  <si>
    <t>Fornecimento e instalação de tubo PBA 12 JEI (junta elástica integrada), diâmetro 50 mm.</t>
  </si>
  <si>
    <t>M</t>
  </si>
  <si>
    <t>03.01.02</t>
  </si>
  <si>
    <t>Fornecimento e instalação de luva simples PVC JE PBA, inclusive anel de borracha, diâmetro 50 mm.</t>
  </si>
  <si>
    <t>03.01.03</t>
  </si>
  <si>
    <t>Fornecimento e instalação de tê PVC JE BBB PBA,  inclusive anel de borracha, diâmetro 50 mm.</t>
  </si>
  <si>
    <t>03.01.04</t>
  </si>
  <si>
    <t>Fornecimento e instalação de curva 22º PVC JE PB PBA,  inclusive anel de borracha, diâmetro 50 mm.</t>
  </si>
  <si>
    <t>03.01.05</t>
  </si>
  <si>
    <t>Fornecimento e instalação de curva 45º PVC JE PB PBA,  inclusive anel de borracha, diâmetro 50 mm.</t>
  </si>
  <si>
    <t>03.01.06</t>
  </si>
  <si>
    <t>Fornecimento e instalação de curva 90º PVC JE PB PBA,  inclusive anel de borracha, diâmetro 50 mm.</t>
  </si>
  <si>
    <t>03.01.07</t>
  </si>
  <si>
    <t>Fornecimento e instalação de Cap PVC JE PB PBA,  inclusive anel de borracha, diâmetro 50 mm.</t>
  </si>
  <si>
    <t>03.02</t>
  </si>
  <si>
    <t>Tubos e conexões soldáveis</t>
  </si>
  <si>
    <t>03.02.01</t>
  </si>
  <si>
    <t>Fornecimento e instalação de tubo soldável PVC, diâmetro 25 mm.</t>
  </si>
  <si>
    <t>03.02.02</t>
  </si>
  <si>
    <t>Fornecimento e instalação de adaptador soldável curto com bolsa e rosca para registro, diâmetro 50 mm x 1.1/2”.</t>
  </si>
  <si>
    <t>03.02.03</t>
  </si>
  <si>
    <t>Fornecimento e instalação de joelho soldável PVC, diâmetro 25 mm.</t>
  </si>
  <si>
    <t>03.02.04</t>
  </si>
  <si>
    <t>Fornecimento e instalação de luva de redução soldável PVC, diâmetro 50 x 25 mm.</t>
  </si>
  <si>
    <t>03.02.05</t>
  </si>
  <si>
    <t>Fornecimento e instalação de Cap, diâmetro 50 mm, soldável ou roscável.</t>
  </si>
  <si>
    <t>4</t>
  </si>
  <si>
    <t>METAIS HIDROSSANITÁRIOS E ABRIGOS</t>
  </si>
  <si>
    <t>04.01</t>
  </si>
  <si>
    <t>Fornecimento e instalação de registro de gaveta 1.1/2”.</t>
  </si>
  <si>
    <t>04.02</t>
  </si>
  <si>
    <t>Abrigo para registro, com tampa nervurada, com requadro metálico (50x50 cm).</t>
  </si>
  <si>
    <t>5</t>
  </si>
  <si>
    <t>RECOMPOSIÇÃO DE PAVIMENTO E OUTROS</t>
  </si>
  <si>
    <t>05.01</t>
  </si>
  <si>
    <t>Pavimento asfáltico</t>
  </si>
  <si>
    <t>05.01.01</t>
  </si>
  <si>
    <t>Transporte de bica corrida - DMT de 0 a 10 km – DMT – 10 km.</t>
  </si>
  <si>
    <t>M³*KM</t>
  </si>
  <si>
    <t>05.01.02</t>
  </si>
  <si>
    <t>Fornecimento e execução de bica corrida.</t>
  </si>
  <si>
    <t>05.01.03</t>
  </si>
  <si>
    <t>Fornecimento  e execução de imprimação com material betuminoso, incluindo fornecimento e transporte do material betuminoso dentro do canteiro do empreendimento.</t>
  </si>
  <si>
    <t>05.01.04</t>
  </si>
  <si>
    <t>Fornecimento  e execução de pintura de ligação com material betuminoso, incluindo fornecimento e transporte do material betuminoso dentro do canteiro do empreendimento.</t>
  </si>
  <si>
    <t>05.01.05</t>
  </si>
  <si>
    <t>Fornecimento e execução de concreto betuminoso usinado a quente (CBUQ) com material betuminoso, incluindo fornecimento dos agregados e transporte do material betuminoso dentro do canteiro do empreendimento. – espessura 4,0 cm.</t>
  </si>
  <si>
    <t>05.01.06</t>
  </si>
  <si>
    <t>Transporte de CBUQ para conservação DMT de 30 a 50 km.</t>
  </si>
  <si>
    <t>05.02</t>
  </si>
  <si>
    <t>Pavimento de concreto (bloquete)</t>
  </si>
  <si>
    <t>05.02.01</t>
  </si>
  <si>
    <t>Execução de pavimento em piso intertravado, com bloco sextavado, reaproveitado.</t>
  </si>
  <si>
    <t>05.02.02</t>
  </si>
  <si>
    <t>Execução de pavimento em piso intertravado, com retangular, reaproveitado.</t>
  </si>
  <si>
    <t>05.03</t>
  </si>
  <si>
    <t>Pavimento de concreto</t>
  </si>
  <si>
    <t>05.03.01</t>
  </si>
  <si>
    <t>Fornecimento e execução de calçada (piso em concreto) moldado no local, espessura 06 cm.</t>
  </si>
  <si>
    <t>05.04</t>
  </si>
  <si>
    <t>Pavimento revestido em pedra miracema</t>
  </si>
  <si>
    <t>05.04.01</t>
  </si>
  <si>
    <t>Fornecimento e execução de concreto magro, traço 1:4:6, espessura 6 cm.</t>
  </si>
  <si>
    <t>05.04.02</t>
  </si>
  <si>
    <t>Fornecimento e execução de pedra miracema, com argamassa pré fabricada, ACII.</t>
  </si>
  <si>
    <t>05.05</t>
  </si>
  <si>
    <t>Outras recomposições</t>
  </si>
  <si>
    <t>05.05.01</t>
  </si>
  <si>
    <t>Fornecimento e execução de argamassa de cimento e areia, traço 1:3.</t>
  </si>
  <si>
    <t>05.05.02</t>
  </si>
  <si>
    <t>Demolição de alvenaria para troca de tubulação</t>
  </si>
  <si>
    <t>05.05.03</t>
  </si>
  <si>
    <t>Chapisco de parede com argamassa, traço 1:3, cimento e areia.</t>
  </si>
  <si>
    <t>05.05.04</t>
  </si>
  <si>
    <t>Reboco paulista (massa única) de parede com argamassa 1:2:8, cimento e areia esp. 10mm preparo mecânico.</t>
  </si>
  <si>
    <t>05.05.05</t>
  </si>
  <si>
    <t>Pintura em tinta acrílica para exterior ou textura, seguindo padrão existente incluindo andaime.</t>
  </si>
  <si>
    <t>05.05.06</t>
  </si>
  <si>
    <t>Preparação para pintura em paredes, pva/acrílica com fundo selador</t>
  </si>
  <si>
    <t>06</t>
  </si>
  <si>
    <t>LIMPEZA</t>
  </si>
  <si>
    <t>06.01</t>
  </si>
  <si>
    <t>Limpeza diária do empreendimento.</t>
  </si>
  <si>
    <t>06.02</t>
  </si>
  <si>
    <t>Transporte de material demolido em caçamba para aterro municipal com licenciamento ambiental.</t>
  </si>
  <si>
    <t>CUSTO TOTAL</t>
  </si>
  <si>
    <t>R$</t>
  </si>
  <si>
    <t>BDI</t>
  </si>
  <si>
    <t>Planilha de serviço elaborada através do levantamento de redes existente feito informações repassadas pela Unidade e inspeção visual.</t>
  </si>
  <si>
    <t xml:space="preserve"> O objeto descrito no projeto, planilha e memorial decritivo compreendem a substituição da tubulação desde o hidrômetro H1 (Copasa) até as edificações contempladas</t>
  </si>
  <si>
    <t xml:space="preserve">As marcas dos produtos apresentados na planilha são referenciadas em especificação de qualidade delimitadas pela PMMG. O uso de materiais equivalentes poderá ser autorizada pelo fiscal, após a apresentação de laudo técnico do fabricante, contendo os aspectos que permitam a comprovação da qualidade. </t>
  </si>
  <si>
    <t>Para melhor execução do serviço a empresa deverá seguir rigorosamente projetos, planilha e memorial descritivo.</t>
  </si>
  <si>
    <t>Preços unitários tendo como referência planilha do SETOP/Abril/2020, planilha SINAPI/maio/ 2020.</t>
  </si>
  <si>
    <t>A unidade poderá providenciar local para instalação de barracão de obra para a contratada  com vestiário, sanitário, depósito, ferramentaria e refeitório em acordo com o memorial descritivo.</t>
  </si>
  <si>
    <t>O engenheiro deverá permanecer na obra no mínimo 2 horas conforme memorial descritivo.</t>
  </si>
  <si>
    <t>_____________________________________________________________</t>
  </si>
  <si>
    <t xml:space="preserve">        PAULO SÉRGIO OTONI FERNANDES – CREA75.828/D</t>
  </si>
  <si>
    <t>POLICIA MILITAR DE MINAS GERAIS</t>
  </si>
  <si>
    <t>CRONOGRAMA  FÍSICO – FINANCEIRO</t>
  </si>
  <si>
    <t>Item</t>
  </si>
  <si>
    <t>Descrição</t>
  </si>
  <si>
    <t>Valor</t>
  </si>
  <si>
    <t>%</t>
  </si>
  <si>
    <t>1 MÊS</t>
  </si>
  <si>
    <t>2 MÊS</t>
  </si>
  <si>
    <t>Custo Total</t>
  </si>
  <si>
    <t>Total Acumulado</t>
  </si>
  <si>
    <t>Acórdão 2622/2013</t>
  </si>
  <si>
    <t>CALCULO DO BDI -CONSTRUÇÃO DE EDIFÍCIOS</t>
  </si>
  <si>
    <t>Empreendimento ( Nome/Apelido)</t>
  </si>
  <si>
    <t>Parâmetros para cálculo do BDI</t>
  </si>
  <si>
    <t>Itens Admissíveis</t>
  </si>
  <si>
    <t>Intervalos admissíveis sem justificativa</t>
  </si>
  <si>
    <t>Índices adotados</t>
  </si>
  <si>
    <t>Administração Central (AC)</t>
  </si>
  <si>
    <t>De</t>
  </si>
  <si>
    <t>até</t>
  </si>
  <si>
    <t>Seguro e Garantia (S+G)</t>
  </si>
  <si>
    <t>Risco (R)</t>
  </si>
  <si>
    <t>Despesas financeiras (DF)</t>
  </si>
  <si>
    <t>Lucro (L)</t>
  </si>
  <si>
    <t>Tributos (T)</t>
  </si>
  <si>
    <t>INSS desoneração (E)</t>
  </si>
  <si>
    <t>Controle</t>
  </si>
  <si>
    <t>ok</t>
  </si>
  <si>
    <t>BDI ADMISSÍVEL</t>
  </si>
  <si>
    <t>BDI NÃO ADMISSÍVEL</t>
  </si>
  <si>
    <t>BDI CALCULADO ----&gt;</t>
  </si>
  <si>
    <t>BDI = (1+AC+S+R+G)*(1+DF)*(1+L)/(1-(T+E))</t>
  </si>
  <si>
    <t>_________________________________________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</si>
</sst>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* #,##0.00\ ;* \(#,##0.00\);* \-#\ ;@\ "/>
    <numFmt numFmtId="171" formatCode="d\-mmm\-yy"/>
    <numFmt numFmtId="172" formatCode="#,###.00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8" fontId="1" fillId="0" borderId="0" applyFill="0" applyBorder="0" applyAlignment="0" applyProtection="0"/>
    <xf numFmtId="43" fontId="1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6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1" fillId="0" borderId="7" applyNumberFormat="0" applyFill="0" applyAlignment="0" applyProtection="0"/>
    <xf numFmtId="0" fontId="47" fillId="0" borderId="6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9" fontId="1" fillId="0" borderId="0" applyFill="0" applyBorder="0" applyAlignment="0" applyProtection="0"/>
    <xf numFmtId="170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0" fontId="3" fillId="33" borderId="12" xfId="0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0" fontId="3" fillId="33" borderId="14" xfId="0" applyNumberFormat="1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10" fontId="3" fillId="33" borderId="16" xfId="0" applyNumberFormat="1" applyFont="1" applyFill="1" applyBorder="1" applyAlignment="1" applyProtection="1">
      <alignment vertical="center"/>
      <protection/>
    </xf>
    <xf numFmtId="10" fontId="3" fillId="33" borderId="17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/>
    </xf>
    <xf numFmtId="2" fontId="4" fillId="0" borderId="0" xfId="44" applyNumberFormat="1" applyFont="1" applyBorder="1" applyAlignment="1" applyProtection="1">
      <alignment horizontal="center" vertical="center"/>
      <protection/>
    </xf>
    <xf numFmtId="10" fontId="0" fillId="35" borderId="11" xfId="0" applyNumberFormat="1" applyFill="1" applyBorder="1" applyAlignment="1">
      <alignment/>
    </xf>
    <xf numFmtId="10" fontId="0" fillId="33" borderId="11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justify"/>
    </xf>
    <xf numFmtId="3" fontId="6" fillId="36" borderId="18" xfId="0" applyNumberFormat="1" applyFont="1" applyFill="1" applyBorder="1" applyAlignment="1">
      <alignment horizontal="center"/>
    </xf>
    <xf numFmtId="4" fontId="6" fillId="36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6" fillId="37" borderId="18" xfId="0" applyNumberFormat="1" applyFont="1" applyFill="1" applyBorder="1" applyAlignment="1">
      <alignment horizontal="center"/>
    </xf>
    <xf numFmtId="10" fontId="4" fillId="38" borderId="18" xfId="54" applyNumberFormat="1" applyFont="1" applyFill="1" applyBorder="1" applyAlignment="1" applyProtection="1">
      <alignment horizontal="center"/>
      <protection/>
    </xf>
    <xf numFmtId="4" fontId="4" fillId="39" borderId="18" xfId="0" applyNumberFormat="1" applyFont="1" applyFill="1" applyBorder="1" applyAlignment="1">
      <alignment horizontal="center"/>
    </xf>
    <xf numFmtId="10" fontId="4" fillId="39" borderId="18" xfId="54" applyNumberFormat="1" applyFont="1" applyFill="1" applyBorder="1" applyAlignment="1" applyProtection="1">
      <alignment horizontal="center"/>
      <protection/>
    </xf>
    <xf numFmtId="4" fontId="4" fillId="40" borderId="18" xfId="0" applyNumberFormat="1" applyFont="1" applyFill="1" applyBorder="1" applyAlignment="1">
      <alignment horizontal="center"/>
    </xf>
    <xf numFmtId="10" fontId="4" fillId="40" borderId="18" xfId="54" applyNumberFormat="1" applyFont="1" applyFill="1" applyBorder="1" applyAlignment="1" applyProtection="1">
      <alignment horizontal="center"/>
      <protection/>
    </xf>
    <xf numFmtId="4" fontId="4" fillId="0" borderId="18" xfId="0" applyNumberFormat="1" applyFont="1" applyBorder="1" applyAlignment="1">
      <alignment wrapText="1"/>
    </xf>
    <xf numFmtId="10" fontId="6" fillId="36" borderId="18" xfId="54" applyNumberFormat="1" applyFont="1" applyFill="1" applyBorder="1" applyAlignment="1" applyProtection="1">
      <alignment horizontal="center"/>
      <protection/>
    </xf>
    <xf numFmtId="4" fontId="4" fillId="36" borderId="18" xfId="0" applyNumberFormat="1" applyFont="1" applyFill="1" applyBorder="1" applyAlignment="1">
      <alignment horizontal="center"/>
    </xf>
    <xf numFmtId="10" fontId="4" fillId="36" borderId="18" xfId="54" applyNumberFormat="1" applyFont="1" applyFill="1" applyBorder="1" applyAlignment="1" applyProtection="1">
      <alignment horizontal="center"/>
      <protection/>
    </xf>
    <xf numFmtId="4" fontId="4" fillId="36" borderId="18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0" fillId="38" borderId="11" xfId="0" applyNumberFormat="1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4" fontId="10" fillId="38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0" fontId="10" fillId="0" borderId="11" xfId="54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172" fontId="4" fillId="0" borderId="11" xfId="45" applyNumberFormat="1" applyFont="1" applyFill="1" applyBorder="1" applyAlignment="1">
      <alignment horizontal="center" vertical="center" wrapText="1"/>
      <protection/>
    </xf>
    <xf numFmtId="17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45" applyFont="1" applyFill="1" applyBorder="1" applyAlignment="1">
      <alignment horizontal="left" vertical="center" wrapText="1"/>
      <protection/>
    </xf>
    <xf numFmtId="172" fontId="4" fillId="0" borderId="11" xfId="45" applyNumberFormat="1" applyFont="1" applyFill="1" applyBorder="1" applyAlignment="1">
      <alignment horizontal="center" vertical="center"/>
      <protection/>
    </xf>
    <xf numFmtId="4" fontId="4" fillId="0" borderId="11" xfId="45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72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10" fontId="10" fillId="33" borderId="11" xfId="54" applyNumberFormat="1" applyFont="1" applyFill="1" applyBorder="1" applyAlignment="1" applyProtection="1">
      <alignment horizontal="center" vertical="center" wrapText="1"/>
      <protection/>
    </xf>
    <xf numFmtId="4" fontId="10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" fontId="10" fillId="33" borderId="18" xfId="54" applyNumberFormat="1" applyFont="1" applyFill="1" applyBorder="1" applyAlignment="1" applyProtection="1">
      <alignment horizontal="center" vertical="top" wrapText="1"/>
      <protection/>
    </xf>
    <xf numFmtId="10" fontId="10" fillId="33" borderId="18" xfId="54" applyNumberFormat="1" applyFont="1" applyFill="1" applyBorder="1" applyAlignment="1" applyProtection="1">
      <alignment horizontal="center" vertical="top" wrapText="1"/>
      <protection/>
    </xf>
    <xf numFmtId="4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 wrapText="1"/>
    </xf>
    <xf numFmtId="4" fontId="6" fillId="36" borderId="18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10" fontId="3" fillId="33" borderId="17" xfId="0" applyNumberFormat="1" applyFont="1" applyFill="1" applyBorder="1" applyAlignment="1" applyProtection="1">
      <alignment horizontal="center" vertical="center"/>
      <protection/>
    </xf>
    <xf numFmtId="10" fontId="3" fillId="33" borderId="25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10" fontId="3" fillId="33" borderId="15" xfId="0" applyNumberFormat="1" applyFont="1" applyFill="1" applyBorder="1" applyAlignment="1" applyProtection="1">
      <alignment horizontal="center" vertical="center"/>
      <protection/>
    </xf>
    <xf numFmtId="10" fontId="3" fillId="33" borderId="26" xfId="0" applyNumberFormat="1" applyFont="1" applyFill="1" applyBorder="1" applyAlignment="1" applyProtection="1">
      <alignment horizontal="center" vertical="center"/>
      <protection/>
    </xf>
    <xf numFmtId="10" fontId="3" fillId="33" borderId="13" xfId="0" applyNumberFormat="1" applyFont="1" applyFill="1" applyBorder="1" applyAlignment="1" applyProtection="1">
      <alignment horizontal="center" vertical="center"/>
      <protection/>
    </xf>
    <xf numFmtId="10" fontId="3" fillId="33" borderId="2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cel Built-in Excel Built-in Excel Built-in Excel Built-in Excel Built-in Excel Built-in Excel Built-in Excel Built-in Excel Built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1 1" xfId="61"/>
    <cellStyle name="Título 2" xfId="62"/>
    <cellStyle name="Título 3" xfId="63"/>
    <cellStyle name="Título 4" xfId="64"/>
    <cellStyle name="Total" xfId="65"/>
    <cellStyle name="Comma" xfId="66"/>
    <cellStyle name="Vírgula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66675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38100</xdr:rowOff>
    </xdr:from>
    <xdr:to>
      <xdr:col>8</xdr:col>
      <xdr:colOff>285750</xdr:colOff>
      <xdr:row>3</xdr:row>
      <xdr:rowOff>171450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810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2"/>
  <sheetViews>
    <sheetView tabSelected="1" view="pageBreakPreview" zoomScale="110" zoomScaleSheetLayoutView="110" zoomScalePageLayoutView="0" workbookViewId="0" topLeftCell="A55">
      <selection activeCell="H1" sqref="H1"/>
    </sheetView>
  </sheetViews>
  <sheetFormatPr defaultColWidth="9.00390625" defaultRowHeight="15.75" customHeight="1"/>
  <cols>
    <col min="1" max="1" width="7.7109375" style="43" bestFit="1" customWidth="1"/>
    <col min="2" max="2" width="63.7109375" style="44" bestFit="1" customWidth="1"/>
    <col min="3" max="3" width="6.00390625" style="45" bestFit="1" customWidth="1"/>
    <col min="4" max="4" width="8.00390625" style="46" bestFit="1" customWidth="1"/>
    <col min="5" max="5" width="10.28125" style="46" bestFit="1" customWidth="1"/>
    <col min="6" max="6" width="10.421875" style="47" bestFit="1" customWidth="1"/>
    <col min="7" max="7" width="8.57421875" style="47" bestFit="1" customWidth="1"/>
    <col min="8" max="8" width="10.00390625" style="47" bestFit="1" customWidth="1"/>
    <col min="9" max="11" width="9.00390625" style="48" bestFit="1" customWidth="1"/>
    <col min="12" max="12" width="9.28125" style="48" bestFit="1" customWidth="1"/>
    <col min="13" max="250" width="9.00390625" style="48" bestFit="1" customWidth="1"/>
    <col min="251" max="251" width="9.00390625" style="49" bestFit="1" customWidth="1"/>
    <col min="252" max="16384" width="9.00390625" style="49" customWidth="1"/>
  </cols>
  <sheetData>
    <row r="1" spans="1:8" ht="12.75" customHeight="1">
      <c r="A1" s="50"/>
      <c r="B1" s="51"/>
      <c r="C1" s="52"/>
      <c r="D1" s="53"/>
      <c r="E1" s="54"/>
      <c r="F1" s="54"/>
      <c r="G1" s="54"/>
      <c r="H1" s="55"/>
    </row>
    <row r="2" spans="1:8" ht="12.75" customHeight="1">
      <c r="A2" s="100" t="s">
        <v>0</v>
      </c>
      <c r="B2" s="100"/>
      <c r="C2" s="100"/>
      <c r="D2" s="100"/>
      <c r="E2" s="100"/>
      <c r="F2" s="100"/>
      <c r="G2" s="56"/>
      <c r="H2" s="57"/>
    </row>
    <row r="3" spans="1:8" ht="12.75" customHeight="1">
      <c r="A3" s="58"/>
      <c r="B3" s="59"/>
      <c r="C3" s="101" t="s">
        <v>1</v>
      </c>
      <c r="D3" s="101"/>
      <c r="E3" s="101"/>
      <c r="F3" s="56"/>
      <c r="G3" s="102"/>
      <c r="H3" s="102"/>
    </row>
    <row r="4" spans="1:8" ht="12.75" customHeight="1">
      <c r="A4" s="103" t="s">
        <v>2</v>
      </c>
      <c r="B4" s="103"/>
      <c r="C4" s="104"/>
      <c r="D4" s="104"/>
      <c r="E4" s="104"/>
      <c r="F4" s="104"/>
      <c r="G4" s="104"/>
      <c r="H4" s="104"/>
    </row>
    <row r="5" spans="1:8" ht="12.75" customHeight="1">
      <c r="A5" s="105" t="s">
        <v>3</v>
      </c>
      <c r="B5" s="105"/>
      <c r="C5" s="105"/>
      <c r="D5" s="105"/>
      <c r="E5" s="105"/>
      <c r="F5" s="105"/>
      <c r="G5" s="56"/>
      <c r="H5" s="57"/>
    </row>
    <row r="6" spans="1:8" ht="12.75" customHeight="1">
      <c r="A6" s="98" t="s">
        <v>4</v>
      </c>
      <c r="B6" s="98"/>
      <c r="C6" s="98"/>
      <c r="D6" s="98"/>
      <c r="E6" s="98"/>
      <c r="F6" s="98"/>
      <c r="G6" s="98"/>
      <c r="H6" s="98"/>
    </row>
    <row r="7" spans="1:8" ht="23.25" customHeight="1">
      <c r="A7" s="60" t="s">
        <v>5</v>
      </c>
      <c r="B7" s="61" t="s">
        <v>6</v>
      </c>
      <c r="C7" s="61" t="s">
        <v>7</v>
      </c>
      <c r="D7" s="61" t="s">
        <v>8</v>
      </c>
      <c r="E7" s="62" t="s">
        <v>9</v>
      </c>
      <c r="F7" s="62" t="s">
        <v>10</v>
      </c>
      <c r="G7" s="62" t="s">
        <v>11</v>
      </c>
      <c r="H7" s="62" t="s">
        <v>12</v>
      </c>
    </row>
    <row r="8" spans="1:8" s="41" customFormat="1" ht="12.75" customHeight="1">
      <c r="A8" s="63">
        <v>1</v>
      </c>
      <c r="B8" s="64" t="s">
        <v>13</v>
      </c>
      <c r="C8" s="65"/>
      <c r="D8" s="66" t="e">
        <f>+F8/$F$79</f>
        <v>#DIV/0!</v>
      </c>
      <c r="E8" s="67" t="s">
        <v>14</v>
      </c>
      <c r="F8" s="67">
        <f>SUM(F9:F14)</f>
        <v>0</v>
      </c>
      <c r="G8" s="67"/>
      <c r="H8" s="67">
        <f>SUM(H9:H14)</f>
        <v>0</v>
      </c>
    </row>
    <row r="9" spans="1:8" s="41" customFormat="1" ht="23.25" customHeight="1">
      <c r="A9" s="68" t="s">
        <v>15</v>
      </c>
      <c r="B9" s="69" t="s">
        <v>16</v>
      </c>
      <c r="C9" s="70" t="s">
        <v>7</v>
      </c>
      <c r="D9" s="71">
        <v>1</v>
      </c>
      <c r="E9" s="72"/>
      <c r="F9" s="73"/>
      <c r="G9" s="73"/>
      <c r="H9" s="73"/>
    </row>
    <row r="10" spans="1:8" s="41" customFormat="1" ht="23.25" customHeight="1">
      <c r="A10" s="68" t="s">
        <v>17</v>
      </c>
      <c r="B10" s="69" t="s">
        <v>18</v>
      </c>
      <c r="C10" s="71" t="s">
        <v>7</v>
      </c>
      <c r="D10" s="71">
        <v>1</v>
      </c>
      <c r="E10" s="72"/>
      <c r="F10" s="73"/>
      <c r="G10" s="73"/>
      <c r="H10" s="73"/>
    </row>
    <row r="11" spans="1:8" s="41" customFormat="1" ht="23.25" customHeight="1">
      <c r="A11" s="68" t="s">
        <v>19</v>
      </c>
      <c r="B11" s="74" t="s">
        <v>20</v>
      </c>
      <c r="C11" s="70" t="s">
        <v>7</v>
      </c>
      <c r="D11" s="71">
        <v>1</v>
      </c>
      <c r="E11" s="72"/>
      <c r="F11" s="73"/>
      <c r="G11" s="73"/>
      <c r="H11" s="73"/>
    </row>
    <row r="12" spans="1:8" s="41" customFormat="1" ht="23.25" customHeight="1">
      <c r="A12" s="68" t="s">
        <v>21</v>
      </c>
      <c r="B12" s="75" t="s">
        <v>22</v>
      </c>
      <c r="C12" s="76" t="s">
        <v>23</v>
      </c>
      <c r="D12" s="76">
        <v>2</v>
      </c>
      <c r="E12" s="77"/>
      <c r="F12" s="73"/>
      <c r="G12" s="73"/>
      <c r="H12" s="73"/>
    </row>
    <row r="13" spans="1:8" s="41" customFormat="1" ht="23.25" customHeight="1">
      <c r="A13" s="68" t="s">
        <v>24</v>
      </c>
      <c r="B13" s="75" t="s">
        <v>25</v>
      </c>
      <c r="C13" s="76" t="s">
        <v>7</v>
      </c>
      <c r="D13" s="76">
        <v>1</v>
      </c>
      <c r="E13" s="77"/>
      <c r="F13" s="73"/>
      <c r="G13" s="73"/>
      <c r="H13" s="73"/>
    </row>
    <row r="14" spans="1:8" s="41" customFormat="1" ht="23.25" customHeight="1">
      <c r="A14" s="68" t="s">
        <v>26</v>
      </c>
      <c r="B14" s="75" t="s">
        <v>27</v>
      </c>
      <c r="C14" s="76" t="s">
        <v>7</v>
      </c>
      <c r="D14" s="76">
        <v>1</v>
      </c>
      <c r="E14" s="77"/>
      <c r="F14" s="73"/>
      <c r="G14" s="73"/>
      <c r="H14" s="73"/>
    </row>
    <row r="15" spans="1:8" s="41" customFormat="1" ht="12.75" customHeight="1">
      <c r="A15" s="63"/>
      <c r="B15" s="64"/>
      <c r="C15" s="65"/>
      <c r="D15" s="66"/>
      <c r="E15" s="67"/>
      <c r="F15" s="67"/>
      <c r="G15" s="67"/>
      <c r="H15" s="67"/>
    </row>
    <row r="16" spans="1:8" s="41" customFormat="1" ht="12.75" customHeight="1">
      <c r="A16" s="63" t="s">
        <v>28</v>
      </c>
      <c r="B16" s="64" t="s">
        <v>29</v>
      </c>
      <c r="C16" s="65"/>
      <c r="D16" s="66" t="e">
        <f>+F16/$F$79</f>
        <v>#DIV/0!</v>
      </c>
      <c r="E16" s="67" t="s">
        <v>14</v>
      </c>
      <c r="F16" s="67">
        <f>SUM(F17:F25)</f>
        <v>0</v>
      </c>
      <c r="G16" s="67"/>
      <c r="H16" s="67">
        <f>SUM(H17:H25)</f>
        <v>0</v>
      </c>
    </row>
    <row r="17" spans="1:8" s="41" customFormat="1" ht="23.25" customHeight="1">
      <c r="A17" s="68" t="s">
        <v>30</v>
      </c>
      <c r="B17" s="74" t="s">
        <v>31</v>
      </c>
      <c r="C17" s="65" t="s">
        <v>32</v>
      </c>
      <c r="D17" s="76">
        <f>(1396*1.1)*0.4</f>
        <v>614.2400000000001</v>
      </c>
      <c r="E17" s="73"/>
      <c r="F17" s="73"/>
      <c r="G17" s="73"/>
      <c r="H17" s="73"/>
    </row>
    <row r="18" spans="1:8" s="41" customFormat="1" ht="23.25" customHeight="1">
      <c r="A18" s="68" t="s">
        <v>33</v>
      </c>
      <c r="B18" s="74" t="s">
        <v>34</v>
      </c>
      <c r="C18" s="65" t="s">
        <v>35</v>
      </c>
      <c r="D18" s="76">
        <f>42*1.1*0.4</f>
        <v>18.48</v>
      </c>
      <c r="E18" s="73"/>
      <c r="F18" s="73"/>
      <c r="G18" s="73"/>
      <c r="H18" s="73"/>
    </row>
    <row r="19" spans="1:8" s="41" customFormat="1" ht="12.75" customHeight="1">
      <c r="A19" s="68" t="s">
        <v>36</v>
      </c>
      <c r="B19" s="74" t="s">
        <v>37</v>
      </c>
      <c r="C19" s="65" t="s">
        <v>32</v>
      </c>
      <c r="D19" s="76">
        <f>7*1.1*0.4</f>
        <v>3.0800000000000005</v>
      </c>
      <c r="E19" s="73"/>
      <c r="F19" s="73"/>
      <c r="G19" s="73"/>
      <c r="H19" s="73"/>
    </row>
    <row r="20" spans="1:8" s="41" customFormat="1" ht="23.25" customHeight="1">
      <c r="A20" s="68" t="s">
        <v>38</v>
      </c>
      <c r="B20" s="74" t="s">
        <v>39</v>
      </c>
      <c r="C20" s="65" t="s">
        <v>32</v>
      </c>
      <c r="D20" s="76">
        <f>11*1.1*0.4</f>
        <v>4.840000000000001</v>
      </c>
      <c r="E20" s="73"/>
      <c r="F20" s="73"/>
      <c r="G20" s="73"/>
      <c r="H20" s="73"/>
    </row>
    <row r="21" spans="1:8" s="41" customFormat="1" ht="12.75" customHeight="1">
      <c r="A21" s="68" t="s">
        <v>40</v>
      </c>
      <c r="B21" s="78" t="s">
        <v>41</v>
      </c>
      <c r="C21" s="65" t="s">
        <v>35</v>
      </c>
      <c r="D21" s="76">
        <f>((1396*1.1*0.4*0.64)+(126*0.1*0.4*0.44))</f>
        <v>395.3312000000001</v>
      </c>
      <c r="E21" s="73"/>
      <c r="F21" s="73"/>
      <c r="G21" s="73"/>
      <c r="H21" s="73"/>
    </row>
    <row r="22" spans="1:8" s="41" customFormat="1" ht="12.75" customHeight="1">
      <c r="A22" s="68" t="s">
        <v>42</v>
      </c>
      <c r="B22" s="78" t="s">
        <v>43</v>
      </c>
      <c r="C22" s="65" t="s">
        <v>32</v>
      </c>
      <c r="D22" s="65">
        <f>1670*0.4</f>
        <v>668</v>
      </c>
      <c r="E22" s="73"/>
      <c r="F22" s="73"/>
      <c r="G22" s="73"/>
      <c r="H22" s="73"/>
    </row>
    <row r="23" spans="1:8" s="41" customFormat="1" ht="12.75" customHeight="1">
      <c r="A23" s="68" t="s">
        <v>44</v>
      </c>
      <c r="B23" s="78" t="s">
        <v>45</v>
      </c>
      <c r="C23" s="65" t="s">
        <v>35</v>
      </c>
      <c r="D23" s="76">
        <f>1670*0.4*0.2*1.3</f>
        <v>173.68</v>
      </c>
      <c r="E23" s="73"/>
      <c r="F23" s="73"/>
      <c r="G23" s="73"/>
      <c r="H23" s="73"/>
    </row>
    <row r="24" spans="1:8" s="41" customFormat="1" ht="12.75" customHeight="1">
      <c r="A24" s="68" t="s">
        <v>46</v>
      </c>
      <c r="B24" s="78" t="s">
        <v>47</v>
      </c>
      <c r="C24" s="65" t="s">
        <v>35</v>
      </c>
      <c r="D24" s="76">
        <f>((1536*0.4)+(126*0.4))*1.3</f>
        <v>864.2400000000001</v>
      </c>
      <c r="E24" s="73"/>
      <c r="F24" s="73"/>
      <c r="G24" s="73"/>
      <c r="H24" s="73"/>
    </row>
    <row r="25" spans="1:8" s="41" customFormat="1" ht="23.25" customHeight="1">
      <c r="A25" s="68" t="s">
        <v>48</v>
      </c>
      <c r="B25" s="79" t="s">
        <v>49</v>
      </c>
      <c r="C25" s="65" t="s">
        <v>35</v>
      </c>
      <c r="D25" s="76">
        <f>(1396*1.1)*0.4*0.2</f>
        <v>122.84800000000003</v>
      </c>
      <c r="E25" s="73"/>
      <c r="F25" s="73"/>
      <c r="G25" s="73"/>
      <c r="H25" s="73"/>
    </row>
    <row r="26" spans="1:8" s="41" customFormat="1" ht="12.75" customHeight="1">
      <c r="A26" s="68"/>
      <c r="B26" s="79"/>
      <c r="C26" s="65"/>
      <c r="D26" s="65"/>
      <c r="E26" s="73"/>
      <c r="F26" s="73"/>
      <c r="G26" s="73"/>
      <c r="H26" s="73"/>
    </row>
    <row r="27" spans="1:8" s="41" customFormat="1" ht="12.75" customHeight="1">
      <c r="A27" s="63" t="s">
        <v>50</v>
      </c>
      <c r="B27" s="80" t="s">
        <v>51</v>
      </c>
      <c r="C27" s="65"/>
      <c r="D27" s="66" t="e">
        <f>+F27/$F$79</f>
        <v>#DIV/0!</v>
      </c>
      <c r="E27" s="67" t="s">
        <v>14</v>
      </c>
      <c r="F27" s="67">
        <f>SUM(F28:F42)</f>
        <v>0</v>
      </c>
      <c r="G27" s="67"/>
      <c r="H27" s="67">
        <f>SUM(H28:H42)</f>
        <v>0</v>
      </c>
    </row>
    <row r="28" spans="1:8" s="41" customFormat="1" ht="12.75" customHeight="1">
      <c r="A28" s="63" t="s">
        <v>52</v>
      </c>
      <c r="B28" s="80" t="s">
        <v>53</v>
      </c>
      <c r="C28" s="65"/>
      <c r="D28" s="66"/>
      <c r="E28" s="67"/>
      <c r="F28" s="67"/>
      <c r="G28" s="67"/>
      <c r="H28" s="67"/>
    </row>
    <row r="29" spans="1:8" s="41" customFormat="1" ht="12.75" customHeight="1">
      <c r="A29" s="68" t="s">
        <v>54</v>
      </c>
      <c r="B29" s="79" t="s">
        <v>55</v>
      </c>
      <c r="C29" s="65" t="s">
        <v>56</v>
      </c>
      <c r="D29" s="65">
        <v>1628</v>
      </c>
      <c r="E29" s="73"/>
      <c r="F29" s="73"/>
      <c r="G29" s="73"/>
      <c r="H29" s="73"/>
    </row>
    <row r="30" spans="1:8" s="41" customFormat="1" ht="23.25" customHeight="1">
      <c r="A30" s="68" t="s">
        <v>57</v>
      </c>
      <c r="B30" s="79" t="s">
        <v>58</v>
      </c>
      <c r="C30" s="71" t="s">
        <v>7</v>
      </c>
      <c r="D30" s="65">
        <v>10</v>
      </c>
      <c r="E30" s="73"/>
      <c r="F30" s="73"/>
      <c r="G30" s="73"/>
      <c r="H30" s="73"/>
    </row>
    <row r="31" spans="1:8" s="41" customFormat="1" ht="12.75" customHeight="1">
      <c r="A31" s="68" t="s">
        <v>59</v>
      </c>
      <c r="B31" s="79" t="s">
        <v>60</v>
      </c>
      <c r="C31" s="71" t="s">
        <v>7</v>
      </c>
      <c r="D31" s="65">
        <v>17</v>
      </c>
      <c r="E31" s="73"/>
      <c r="F31" s="73"/>
      <c r="G31" s="73"/>
      <c r="H31" s="73"/>
    </row>
    <row r="32" spans="1:8" s="41" customFormat="1" ht="23.25" customHeight="1">
      <c r="A32" s="68" t="s">
        <v>61</v>
      </c>
      <c r="B32" s="79" t="s">
        <v>62</v>
      </c>
      <c r="C32" s="71" t="s">
        <v>7</v>
      </c>
      <c r="D32" s="65">
        <v>9</v>
      </c>
      <c r="E32" s="73"/>
      <c r="F32" s="73"/>
      <c r="G32" s="73"/>
      <c r="H32" s="73"/>
    </row>
    <row r="33" spans="1:8" s="41" customFormat="1" ht="23.25" customHeight="1">
      <c r="A33" s="68" t="s">
        <v>63</v>
      </c>
      <c r="B33" s="79" t="s">
        <v>64</v>
      </c>
      <c r="C33" s="71" t="s">
        <v>7</v>
      </c>
      <c r="D33" s="65">
        <v>3</v>
      </c>
      <c r="E33" s="73"/>
      <c r="F33" s="73"/>
      <c r="G33" s="73"/>
      <c r="H33" s="73"/>
    </row>
    <row r="34" spans="1:8" s="41" customFormat="1" ht="23.25" customHeight="1">
      <c r="A34" s="68" t="s">
        <v>65</v>
      </c>
      <c r="B34" s="79" t="s">
        <v>66</v>
      </c>
      <c r="C34" s="71" t="s">
        <v>7</v>
      </c>
      <c r="D34" s="65">
        <v>16</v>
      </c>
      <c r="E34" s="73"/>
      <c r="F34" s="73"/>
      <c r="G34" s="73"/>
      <c r="H34" s="73"/>
    </row>
    <row r="35" spans="1:8" s="41" customFormat="1" ht="12.75" customHeight="1">
      <c r="A35" s="68" t="s">
        <v>67</v>
      </c>
      <c r="B35" s="79" t="s">
        <v>68</v>
      </c>
      <c r="C35" s="71" t="s">
        <v>7</v>
      </c>
      <c r="D35" s="65">
        <v>1</v>
      </c>
      <c r="E35" s="73"/>
      <c r="F35" s="73"/>
      <c r="G35" s="73"/>
      <c r="H35" s="73"/>
    </row>
    <row r="36" spans="1:8" s="41" customFormat="1" ht="12.75" customHeight="1">
      <c r="A36" s="68"/>
      <c r="B36" s="79"/>
      <c r="C36" s="71"/>
      <c r="D36" s="65"/>
      <c r="E36" s="73"/>
      <c r="F36" s="73"/>
      <c r="G36" s="73"/>
      <c r="H36" s="73"/>
    </row>
    <row r="37" spans="1:8" s="41" customFormat="1" ht="12.75" customHeight="1">
      <c r="A37" s="63" t="s">
        <v>69</v>
      </c>
      <c r="B37" s="80" t="s">
        <v>70</v>
      </c>
      <c r="C37" s="65"/>
      <c r="D37" s="65"/>
      <c r="E37" s="73"/>
      <c r="F37" s="73"/>
      <c r="G37" s="73"/>
      <c r="H37" s="73"/>
    </row>
    <row r="38" spans="1:8" s="41" customFormat="1" ht="12.75" customHeight="1">
      <c r="A38" s="68" t="s">
        <v>71</v>
      </c>
      <c r="B38" s="74" t="s">
        <v>72</v>
      </c>
      <c r="C38" s="65" t="s">
        <v>56</v>
      </c>
      <c r="D38" s="65">
        <v>42</v>
      </c>
      <c r="E38" s="73"/>
      <c r="F38" s="73"/>
      <c r="G38" s="73"/>
      <c r="H38" s="73"/>
    </row>
    <row r="39" spans="1:8" s="41" customFormat="1" ht="23.25" customHeight="1">
      <c r="A39" s="68" t="s">
        <v>73</v>
      </c>
      <c r="B39" s="79" t="s">
        <v>74</v>
      </c>
      <c r="C39" s="71" t="s">
        <v>7</v>
      </c>
      <c r="D39" s="65">
        <v>40</v>
      </c>
      <c r="E39" s="73"/>
      <c r="F39" s="73"/>
      <c r="G39" s="73"/>
      <c r="H39" s="73"/>
    </row>
    <row r="40" spans="1:8" s="41" customFormat="1" ht="12.75" customHeight="1">
      <c r="A40" s="68" t="s">
        <v>75</v>
      </c>
      <c r="B40" s="74" t="s">
        <v>76</v>
      </c>
      <c r="C40" s="65" t="s">
        <v>7</v>
      </c>
      <c r="D40" s="81">
        <v>18</v>
      </c>
      <c r="E40" s="73"/>
      <c r="F40" s="73"/>
      <c r="G40" s="73"/>
      <c r="H40" s="73"/>
    </row>
    <row r="41" spans="1:8" s="41" customFormat="1" ht="12.75" customHeight="1">
      <c r="A41" s="68" t="s">
        <v>77</v>
      </c>
      <c r="B41" s="74" t="s">
        <v>78</v>
      </c>
      <c r="C41" s="65" t="s">
        <v>7</v>
      </c>
      <c r="D41" s="81">
        <v>18</v>
      </c>
      <c r="E41" s="73"/>
      <c r="F41" s="73"/>
      <c r="G41" s="73"/>
      <c r="H41" s="73"/>
    </row>
    <row r="42" spans="1:8" s="41" customFormat="1" ht="12.75" customHeight="1">
      <c r="A42" s="68" t="s">
        <v>79</v>
      </c>
      <c r="B42" s="79" t="s">
        <v>80</v>
      </c>
      <c r="C42" s="65" t="s">
        <v>7</v>
      </c>
      <c r="D42" s="81">
        <v>10</v>
      </c>
      <c r="E42" s="73"/>
      <c r="F42" s="73"/>
      <c r="G42" s="73"/>
      <c r="H42" s="73"/>
    </row>
    <row r="43" spans="1:8" s="41" customFormat="1" ht="12.75" customHeight="1">
      <c r="A43" s="68"/>
      <c r="B43" s="74"/>
      <c r="C43" s="65"/>
      <c r="D43" s="81"/>
      <c r="E43" s="73"/>
      <c r="F43" s="73"/>
      <c r="G43" s="73"/>
      <c r="H43" s="73"/>
    </row>
    <row r="44" spans="1:255" s="41" customFormat="1" ht="14.25" customHeight="1">
      <c r="A44" s="63" t="s">
        <v>81</v>
      </c>
      <c r="B44" s="64" t="s">
        <v>82</v>
      </c>
      <c r="C44" s="65"/>
      <c r="D44" s="66" t="e">
        <f>+F44/$F$79</f>
        <v>#DIV/0!</v>
      </c>
      <c r="E44" s="67" t="s">
        <v>14</v>
      </c>
      <c r="F44" s="67">
        <f>SUM(F45:F46)</f>
        <v>0</v>
      </c>
      <c r="G44" s="67"/>
      <c r="H44" s="67">
        <f>SUM(H45:H46)</f>
        <v>0</v>
      </c>
      <c r="IQ44" s="42"/>
      <c r="IR44" s="42"/>
      <c r="IS44" s="42"/>
      <c r="IT44" s="42"/>
      <c r="IU44" s="42"/>
    </row>
    <row r="45" spans="1:8" s="41" customFormat="1" ht="12.75" customHeight="1">
      <c r="A45" s="68" t="s">
        <v>83</v>
      </c>
      <c r="B45" s="79" t="s">
        <v>84</v>
      </c>
      <c r="C45" s="65" t="s">
        <v>7</v>
      </c>
      <c r="D45" s="65">
        <v>20</v>
      </c>
      <c r="E45" s="73"/>
      <c r="F45" s="73"/>
      <c r="G45" s="73"/>
      <c r="H45" s="73"/>
    </row>
    <row r="46" spans="1:8" s="41" customFormat="1" ht="12.75" customHeight="1">
      <c r="A46" s="68" t="s">
        <v>85</v>
      </c>
      <c r="B46" s="79" t="s">
        <v>86</v>
      </c>
      <c r="C46" s="65" t="s">
        <v>7</v>
      </c>
      <c r="D46" s="65">
        <v>20</v>
      </c>
      <c r="E46" s="73"/>
      <c r="F46" s="73"/>
      <c r="G46" s="73"/>
      <c r="H46" s="73"/>
    </row>
    <row r="47" spans="1:8" s="41" customFormat="1" ht="12.75" customHeight="1">
      <c r="A47" s="68"/>
      <c r="B47" s="79"/>
      <c r="C47" s="65"/>
      <c r="D47" s="65"/>
      <c r="E47" s="73"/>
      <c r="F47" s="73"/>
      <c r="G47" s="73"/>
      <c r="H47" s="73"/>
    </row>
    <row r="48" spans="1:8" s="41" customFormat="1" ht="12.75" customHeight="1">
      <c r="A48" s="63" t="s">
        <v>87</v>
      </c>
      <c r="B48" s="80" t="s">
        <v>88</v>
      </c>
      <c r="C48" s="65"/>
      <c r="D48" s="66" t="e">
        <f>+F48/$F$79</f>
        <v>#DIV/0!</v>
      </c>
      <c r="E48" s="67" t="s">
        <v>14</v>
      </c>
      <c r="F48" s="67">
        <f>SUM(F50:F74)</f>
        <v>0</v>
      </c>
      <c r="G48" s="67"/>
      <c r="H48" s="67">
        <f>SUM(H50:H74)</f>
        <v>0</v>
      </c>
    </row>
    <row r="49" spans="1:8" s="41" customFormat="1" ht="12.75" customHeight="1">
      <c r="A49" s="63" t="s">
        <v>89</v>
      </c>
      <c r="B49" s="80" t="s">
        <v>90</v>
      </c>
      <c r="C49" s="65"/>
      <c r="D49" s="66"/>
      <c r="E49" s="67"/>
      <c r="F49" s="67"/>
      <c r="G49" s="67"/>
      <c r="H49" s="67"/>
    </row>
    <row r="50" spans="1:8" s="41" customFormat="1" ht="12.75" customHeight="1">
      <c r="A50" s="68" t="s">
        <v>91</v>
      </c>
      <c r="B50" s="74" t="s">
        <v>92</v>
      </c>
      <c r="C50" s="65" t="s">
        <v>93</v>
      </c>
      <c r="D50" s="76">
        <f>122.85/6*20</f>
        <v>409.49999999999994</v>
      </c>
      <c r="E50" s="73"/>
      <c r="F50" s="73"/>
      <c r="G50" s="73"/>
      <c r="H50" s="73"/>
    </row>
    <row r="51" spans="1:8" s="41" customFormat="1" ht="12.75" customHeight="1">
      <c r="A51" s="68" t="s">
        <v>94</v>
      </c>
      <c r="B51" s="74" t="s">
        <v>95</v>
      </c>
      <c r="C51" s="65" t="s">
        <v>35</v>
      </c>
      <c r="D51" s="76">
        <f>(1396*1.1*0.4*0.2)</f>
        <v>122.84800000000003</v>
      </c>
      <c r="E51" s="73"/>
      <c r="F51" s="73"/>
      <c r="G51" s="73"/>
      <c r="H51" s="73"/>
    </row>
    <row r="52" spans="1:8" s="41" customFormat="1" ht="33.75" customHeight="1">
      <c r="A52" s="68" t="s">
        <v>96</v>
      </c>
      <c r="B52" s="74" t="s">
        <v>97</v>
      </c>
      <c r="C52" s="65" t="s">
        <v>32</v>
      </c>
      <c r="D52" s="65">
        <f>1396*1.1*0.4</f>
        <v>614.2400000000001</v>
      </c>
      <c r="E52" s="73"/>
      <c r="F52" s="73"/>
      <c r="G52" s="73"/>
      <c r="H52" s="73"/>
    </row>
    <row r="53" spans="1:8" s="41" customFormat="1" ht="33.75" customHeight="1">
      <c r="A53" s="68" t="s">
        <v>98</v>
      </c>
      <c r="B53" s="74" t="s">
        <v>99</v>
      </c>
      <c r="C53" s="65" t="s">
        <v>32</v>
      </c>
      <c r="D53" s="65">
        <f>1396*1.1*0.4</f>
        <v>614.2400000000001</v>
      </c>
      <c r="E53" s="73"/>
      <c r="F53" s="73"/>
      <c r="G53" s="73"/>
      <c r="H53" s="73"/>
    </row>
    <row r="54" spans="1:8" s="41" customFormat="1" ht="33.75" customHeight="1">
      <c r="A54" s="68" t="s">
        <v>100</v>
      </c>
      <c r="B54" s="74" t="s">
        <v>101</v>
      </c>
      <c r="C54" s="65" t="s">
        <v>35</v>
      </c>
      <c r="D54" s="65">
        <f>614.24*0.04</f>
        <v>24.5696</v>
      </c>
      <c r="E54" s="73"/>
      <c r="F54" s="73"/>
      <c r="G54" s="73"/>
      <c r="H54" s="73"/>
    </row>
    <row r="55" spans="1:8" s="41" customFormat="1" ht="12.75" customHeight="1">
      <c r="A55" s="68" t="s">
        <v>102</v>
      </c>
      <c r="B55" s="74" t="s">
        <v>103</v>
      </c>
      <c r="C55" s="65" t="s">
        <v>32</v>
      </c>
      <c r="D55" s="65">
        <f>1396*1.1*0.4</f>
        <v>614.2400000000001</v>
      </c>
      <c r="E55" s="73"/>
      <c r="F55" s="73"/>
      <c r="G55" s="73"/>
      <c r="H55" s="73"/>
    </row>
    <row r="56" spans="1:8" s="41" customFormat="1" ht="12.75" customHeight="1">
      <c r="A56" s="68"/>
      <c r="B56" s="74"/>
      <c r="C56" s="65"/>
      <c r="D56" s="65"/>
      <c r="E56" s="73"/>
      <c r="F56" s="73"/>
      <c r="G56" s="73"/>
      <c r="H56" s="73"/>
    </row>
    <row r="57" spans="1:8" s="41" customFormat="1" ht="12.75" customHeight="1">
      <c r="A57" s="63" t="s">
        <v>104</v>
      </c>
      <c r="B57" s="82" t="s">
        <v>105</v>
      </c>
      <c r="C57" s="65"/>
      <c r="D57" s="65"/>
      <c r="E57" s="73"/>
      <c r="F57" s="73"/>
      <c r="G57" s="73"/>
      <c r="H57" s="73"/>
    </row>
    <row r="58" spans="1:8" s="41" customFormat="1" ht="12.75" customHeight="1">
      <c r="A58" s="68" t="s">
        <v>106</v>
      </c>
      <c r="B58" s="83" t="s">
        <v>107</v>
      </c>
      <c r="C58" s="65" t="s">
        <v>32</v>
      </c>
      <c r="D58" s="76">
        <f>7*1.2*0.4</f>
        <v>3.3600000000000003</v>
      </c>
      <c r="E58" s="73"/>
      <c r="F58" s="73"/>
      <c r="G58" s="73"/>
      <c r="H58" s="73"/>
    </row>
    <row r="59" spans="1:8" s="41" customFormat="1" ht="12.75" customHeight="1">
      <c r="A59" s="68" t="s">
        <v>108</v>
      </c>
      <c r="B59" s="83" t="s">
        <v>109</v>
      </c>
      <c r="C59" s="65" t="s">
        <v>32</v>
      </c>
      <c r="D59" s="76">
        <f>7*1.2*0.4</f>
        <v>3.3600000000000003</v>
      </c>
      <c r="E59" s="73"/>
      <c r="F59" s="73"/>
      <c r="G59" s="73"/>
      <c r="H59" s="73"/>
    </row>
    <row r="60" spans="1:8" s="41" customFormat="1" ht="12.75" customHeight="1">
      <c r="A60" s="68"/>
      <c r="B60" s="83"/>
      <c r="C60" s="65"/>
      <c r="D60" s="65"/>
      <c r="E60" s="73"/>
      <c r="F60" s="73"/>
      <c r="G60" s="73"/>
      <c r="H60" s="73"/>
    </row>
    <row r="61" spans="1:8" s="41" customFormat="1" ht="12.75" customHeight="1">
      <c r="A61" s="63" t="s">
        <v>110</v>
      </c>
      <c r="B61" s="82" t="s">
        <v>111</v>
      </c>
      <c r="C61" s="65"/>
      <c r="D61" s="65"/>
      <c r="E61" s="73"/>
      <c r="F61" s="73"/>
      <c r="G61" s="73"/>
      <c r="H61" s="73"/>
    </row>
    <row r="62" spans="1:8" s="41" customFormat="1" ht="22.5" customHeight="1">
      <c r="A62" s="68" t="s">
        <v>112</v>
      </c>
      <c r="B62" s="83" t="s">
        <v>113</v>
      </c>
      <c r="C62" s="65" t="s">
        <v>32</v>
      </c>
      <c r="D62" s="65">
        <f>(42*1.2*0.4)</f>
        <v>20.16</v>
      </c>
      <c r="E62" s="73"/>
      <c r="F62" s="73"/>
      <c r="G62" s="73"/>
      <c r="H62" s="73"/>
    </row>
    <row r="63" spans="1:8" s="41" customFormat="1" ht="12.75" customHeight="1">
      <c r="A63" s="68"/>
      <c r="B63" s="83"/>
      <c r="C63" s="65"/>
      <c r="D63" s="65"/>
      <c r="E63" s="73"/>
      <c r="F63" s="73"/>
      <c r="G63" s="73"/>
      <c r="H63" s="73"/>
    </row>
    <row r="64" spans="1:8" s="41" customFormat="1" ht="12.75" customHeight="1">
      <c r="A64" s="63" t="s">
        <v>114</v>
      </c>
      <c r="B64" s="82" t="s">
        <v>115</v>
      </c>
      <c r="C64" s="65"/>
      <c r="D64" s="65"/>
      <c r="E64" s="73"/>
      <c r="F64" s="73"/>
      <c r="G64" s="73"/>
      <c r="H64" s="73"/>
    </row>
    <row r="65" spans="1:8" s="41" customFormat="1" ht="12.75" customHeight="1">
      <c r="A65" s="68" t="s">
        <v>116</v>
      </c>
      <c r="B65" s="83" t="s">
        <v>117</v>
      </c>
      <c r="C65" s="65" t="s">
        <v>32</v>
      </c>
      <c r="D65" s="65">
        <f>11*1.2*0.4</f>
        <v>5.28</v>
      </c>
      <c r="E65" s="73"/>
      <c r="F65" s="73"/>
      <c r="G65" s="73"/>
      <c r="H65" s="73"/>
    </row>
    <row r="66" spans="1:8" s="41" customFormat="1" ht="12.75" customHeight="1">
      <c r="A66" s="68" t="s">
        <v>118</v>
      </c>
      <c r="B66" s="83" t="s">
        <v>119</v>
      </c>
      <c r="C66" s="65" t="s">
        <v>32</v>
      </c>
      <c r="D66" s="65">
        <f>11*1.2*0.4</f>
        <v>5.28</v>
      </c>
      <c r="E66" s="73"/>
      <c r="F66" s="73"/>
      <c r="G66" s="73"/>
      <c r="H66" s="73"/>
    </row>
    <row r="67" spans="1:8" s="41" customFormat="1" ht="12.75" customHeight="1">
      <c r="A67" s="68"/>
      <c r="B67" s="83"/>
      <c r="C67" s="65"/>
      <c r="D67" s="65"/>
      <c r="E67" s="73"/>
      <c r="F67" s="73"/>
      <c r="G67" s="73"/>
      <c r="H67" s="73"/>
    </row>
    <row r="68" spans="1:8" s="41" customFormat="1" ht="12.75" customHeight="1">
      <c r="A68" s="63" t="s">
        <v>120</v>
      </c>
      <c r="B68" s="82" t="s">
        <v>121</v>
      </c>
      <c r="C68" s="65"/>
      <c r="D68" s="65"/>
      <c r="E68" s="73"/>
      <c r="F68" s="73"/>
      <c r="G68" s="73"/>
      <c r="H68" s="73"/>
    </row>
    <row r="69" spans="1:8" s="41" customFormat="1" ht="12.75" customHeight="1">
      <c r="A69" s="68" t="s">
        <v>122</v>
      </c>
      <c r="B69" s="83" t="s">
        <v>123</v>
      </c>
      <c r="C69" s="65" t="s">
        <v>35</v>
      </c>
      <c r="D69" s="65">
        <v>2</v>
      </c>
      <c r="E69" s="73"/>
      <c r="F69" s="73"/>
      <c r="G69" s="73"/>
      <c r="H69" s="73"/>
    </row>
    <row r="70" spans="1:8" s="41" customFormat="1" ht="12.75" customHeight="1">
      <c r="A70" s="68" t="s">
        <v>124</v>
      </c>
      <c r="B70" s="83" t="s">
        <v>125</v>
      </c>
      <c r="C70" s="65" t="s">
        <v>35</v>
      </c>
      <c r="D70" s="65">
        <f>1*0.2*0.2*20</f>
        <v>0.8000000000000002</v>
      </c>
      <c r="E70" s="73"/>
      <c r="F70" s="73"/>
      <c r="G70" s="73"/>
      <c r="H70" s="73"/>
    </row>
    <row r="71" spans="1:8" s="41" customFormat="1" ht="12.75" customHeight="1">
      <c r="A71" s="68" t="s">
        <v>126</v>
      </c>
      <c r="B71" s="74" t="s">
        <v>127</v>
      </c>
      <c r="C71" s="65" t="s">
        <v>32</v>
      </c>
      <c r="D71" s="65">
        <f>1*0.2*20</f>
        <v>4</v>
      </c>
      <c r="E71" s="73"/>
      <c r="F71" s="73"/>
      <c r="G71" s="73"/>
      <c r="H71" s="73"/>
    </row>
    <row r="72" spans="1:8" s="41" customFormat="1" ht="22.5" customHeight="1">
      <c r="A72" s="68" t="s">
        <v>128</v>
      </c>
      <c r="B72" s="74" t="s">
        <v>129</v>
      </c>
      <c r="C72" s="65" t="s">
        <v>32</v>
      </c>
      <c r="D72" s="65">
        <f>1*0.2*20</f>
        <v>4</v>
      </c>
      <c r="E72" s="73"/>
      <c r="F72" s="73"/>
      <c r="G72" s="73"/>
      <c r="H72" s="73"/>
    </row>
    <row r="73" spans="1:8" s="41" customFormat="1" ht="22.5" customHeight="1">
      <c r="A73" s="68" t="s">
        <v>130</v>
      </c>
      <c r="B73" s="74" t="s">
        <v>131</v>
      </c>
      <c r="C73" s="65" t="s">
        <v>32</v>
      </c>
      <c r="D73" s="65">
        <f>1*0.2*20</f>
        <v>4</v>
      </c>
      <c r="E73" s="73"/>
      <c r="F73" s="73"/>
      <c r="G73" s="73"/>
      <c r="H73" s="73"/>
    </row>
    <row r="74" spans="1:8" s="41" customFormat="1" ht="12.75" customHeight="1">
      <c r="A74" s="68" t="s">
        <v>132</v>
      </c>
      <c r="B74" s="74" t="s">
        <v>133</v>
      </c>
      <c r="C74" s="65" t="s">
        <v>32</v>
      </c>
      <c r="D74" s="65">
        <f>1*0.2*20</f>
        <v>4</v>
      </c>
      <c r="E74" s="73"/>
      <c r="F74" s="73"/>
      <c r="G74" s="73"/>
      <c r="H74" s="73"/>
    </row>
    <row r="75" spans="1:8" s="41" customFormat="1" ht="12.75" customHeight="1">
      <c r="A75" s="68"/>
      <c r="B75" s="83"/>
      <c r="C75" s="65"/>
      <c r="D75" s="65"/>
      <c r="E75" s="73"/>
      <c r="F75" s="73"/>
      <c r="G75" s="73"/>
      <c r="H75" s="73"/>
    </row>
    <row r="76" spans="1:8" s="41" customFormat="1" ht="12.75" customHeight="1">
      <c r="A76" s="63" t="s">
        <v>134</v>
      </c>
      <c r="B76" s="64" t="s">
        <v>135</v>
      </c>
      <c r="C76" s="65"/>
      <c r="D76" s="66" t="e">
        <f>+F76/$F$79</f>
        <v>#DIV/0!</v>
      </c>
      <c r="E76" s="67" t="s">
        <v>14</v>
      </c>
      <c r="F76" s="67">
        <f>SUM(F77:F78)</f>
        <v>0</v>
      </c>
      <c r="G76" s="67"/>
      <c r="H76" s="67">
        <f>SUM(H77:H78)</f>
        <v>0</v>
      </c>
    </row>
    <row r="77" spans="1:9" s="41" customFormat="1" ht="12.75" customHeight="1">
      <c r="A77" s="68" t="s">
        <v>136</v>
      </c>
      <c r="B77" s="74" t="s">
        <v>137</v>
      </c>
      <c r="C77" s="65" t="s">
        <v>32</v>
      </c>
      <c r="D77" s="65">
        <f>1670*0.8</f>
        <v>1336</v>
      </c>
      <c r="E77" s="73"/>
      <c r="F77" s="73"/>
      <c r="G77" s="73"/>
      <c r="H77" s="73"/>
      <c r="I77" s="95"/>
    </row>
    <row r="78" spans="1:16" s="42" customFormat="1" ht="22.5" customHeight="1">
      <c r="A78" s="68" t="s">
        <v>138</v>
      </c>
      <c r="B78" s="74" t="s">
        <v>139</v>
      </c>
      <c r="C78" s="65" t="s">
        <v>35</v>
      </c>
      <c r="D78" s="84">
        <f>(1670*0.1*0.4*1.3)</f>
        <v>86.84</v>
      </c>
      <c r="E78" s="85"/>
      <c r="F78" s="73"/>
      <c r="G78" s="73"/>
      <c r="H78" s="73"/>
      <c r="I78" s="95"/>
      <c r="J78" s="41"/>
      <c r="K78" s="41"/>
      <c r="L78" s="41"/>
      <c r="M78" s="41"/>
      <c r="N78" s="41"/>
      <c r="O78" s="41"/>
      <c r="P78" s="41"/>
    </row>
    <row r="79" spans="1:9" ht="15.75" customHeight="1">
      <c r="A79" s="86"/>
      <c r="B79" s="87" t="s">
        <v>140</v>
      </c>
      <c r="C79" s="88"/>
      <c r="D79" s="89" t="e">
        <f>D8+D16+D27+D44+D48+D76</f>
        <v>#DIV/0!</v>
      </c>
      <c r="E79" s="90" t="s">
        <v>141</v>
      </c>
      <c r="F79" s="90">
        <f>F76+F48+F44+F27+F16+F8</f>
        <v>0</v>
      </c>
      <c r="G79" s="90" t="s">
        <v>141</v>
      </c>
      <c r="H79" s="90">
        <f>H76+H48+H44+H27+H16+H8</f>
        <v>0</v>
      </c>
      <c r="I79" s="95"/>
    </row>
    <row r="80" spans="4:16" ht="15.75" customHeight="1">
      <c r="D80" s="91"/>
      <c r="E80" s="92" t="s">
        <v>142</v>
      </c>
      <c r="F80" s="93">
        <f>BDI!J25</f>
        <v>0.2452</v>
      </c>
      <c r="G80" s="94"/>
      <c r="H80" s="94"/>
      <c r="I80" s="95"/>
      <c r="J80" s="95"/>
      <c r="K80" s="95"/>
      <c r="L80" s="95"/>
      <c r="M80" s="95"/>
      <c r="N80" s="95"/>
      <c r="O80" s="95"/>
      <c r="P80" s="95"/>
    </row>
    <row r="81" ht="15.75" customHeight="1">
      <c r="I81" s="95"/>
    </row>
    <row r="82" spans="1:9" ht="12.75" customHeight="1">
      <c r="A82" s="96" t="s">
        <v>143</v>
      </c>
      <c r="B82" s="96"/>
      <c r="C82" s="96"/>
      <c r="D82" s="96"/>
      <c r="E82" s="96"/>
      <c r="F82" s="96"/>
      <c r="G82" s="96"/>
      <c r="H82" s="96"/>
      <c r="I82" s="95"/>
    </row>
    <row r="83" spans="1:9" ht="15.75" customHeight="1">
      <c r="A83" s="96" t="s">
        <v>144</v>
      </c>
      <c r="B83" s="96"/>
      <c r="C83" s="96"/>
      <c r="D83" s="96"/>
      <c r="E83" s="96"/>
      <c r="F83" s="96"/>
      <c r="G83" s="96"/>
      <c r="H83" s="96"/>
      <c r="I83" s="95"/>
    </row>
    <row r="84" spans="1:8" ht="23.25" customHeight="1">
      <c r="A84" s="99" t="s">
        <v>145</v>
      </c>
      <c r="B84" s="99"/>
      <c r="C84" s="99"/>
      <c r="D84" s="99"/>
      <c r="E84" s="99"/>
      <c r="F84" s="99"/>
      <c r="G84" s="99"/>
      <c r="H84" s="99"/>
    </row>
    <row r="85" spans="1:8" ht="15.75" customHeight="1">
      <c r="A85" s="96" t="s">
        <v>146</v>
      </c>
      <c r="B85" s="96"/>
      <c r="C85" s="96"/>
      <c r="D85" s="96"/>
      <c r="E85" s="96"/>
      <c r="F85" s="96"/>
      <c r="G85" s="96"/>
      <c r="H85" s="96"/>
    </row>
    <row r="86" spans="1:8" ht="15.75" customHeight="1">
      <c r="A86" s="96" t="s">
        <v>147</v>
      </c>
      <c r="B86" s="96"/>
      <c r="C86" s="96"/>
      <c r="D86" s="96"/>
      <c r="E86" s="96"/>
      <c r="F86" s="96"/>
      <c r="G86" s="96"/>
      <c r="H86" s="96"/>
    </row>
    <row r="87" spans="1:8" ht="15.75" customHeight="1">
      <c r="A87" s="96" t="s">
        <v>148</v>
      </c>
      <c r="B87" s="96"/>
      <c r="C87" s="96"/>
      <c r="D87" s="96"/>
      <c r="E87" s="96"/>
      <c r="F87" s="96"/>
      <c r="G87" s="96"/>
      <c r="H87" s="96"/>
    </row>
    <row r="88" spans="1:8" ht="15.75" customHeight="1">
      <c r="A88" s="96" t="s">
        <v>149</v>
      </c>
      <c r="B88" s="96"/>
      <c r="C88" s="96"/>
      <c r="D88" s="96"/>
      <c r="E88" s="96"/>
      <c r="F88" s="96"/>
      <c r="G88" s="96"/>
      <c r="H88" s="96"/>
    </row>
    <row r="89" spans="1:8" ht="15.75" customHeight="1">
      <c r="A89" s="97"/>
      <c r="B89" s="97"/>
      <c r="C89" s="97"/>
      <c r="D89" s="97"/>
      <c r="E89" s="97"/>
      <c r="F89" s="97"/>
      <c r="G89" s="97"/>
      <c r="H89" s="97"/>
    </row>
    <row r="90" spans="1:8" ht="15.75" customHeight="1">
      <c r="A90" s="97"/>
      <c r="B90" s="97"/>
      <c r="C90" s="97"/>
      <c r="D90" s="97"/>
      <c r="E90" s="97"/>
      <c r="F90" s="97"/>
      <c r="G90" s="97"/>
      <c r="H90" s="97"/>
    </row>
    <row r="91" spans="1:8" ht="15.75" customHeight="1">
      <c r="A91" s="97" t="s">
        <v>150</v>
      </c>
      <c r="B91" s="97"/>
      <c r="C91" s="97"/>
      <c r="D91" s="97"/>
      <c r="E91" s="97"/>
      <c r="F91" s="97"/>
      <c r="G91" s="97"/>
      <c r="H91" s="97"/>
    </row>
    <row r="92" spans="1:8" ht="15.75" customHeight="1">
      <c r="A92" s="97" t="s">
        <v>151</v>
      </c>
      <c r="B92" s="97"/>
      <c r="C92" s="97"/>
      <c r="D92" s="97"/>
      <c r="E92" s="97"/>
      <c r="F92" s="97"/>
      <c r="G92" s="97"/>
      <c r="H92" s="97"/>
    </row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8">
    <mergeCell ref="A2:F2"/>
    <mergeCell ref="C3:E3"/>
    <mergeCell ref="G3:H3"/>
    <mergeCell ref="A4:B4"/>
    <mergeCell ref="C4:H4"/>
    <mergeCell ref="A5:F5"/>
    <mergeCell ref="A6:H6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</mergeCells>
  <printOptions horizontalCentered="1"/>
  <pageMargins left="0.3541666666666667" right="0.3541666666666667" top="0.3541666666666667" bottom="0.3541666666666667" header="0.5118055555555555" footer="0.5118055555555555"/>
  <pageSetup horizontalDpi="300" verticalDpi="300" orientation="landscape" paperSize="9" scale="95" r:id="rId2"/>
  <rowBreaks count="2" manualBreakCount="2">
    <brk id="32" max="7" man="1"/>
    <brk id="6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34.57421875" defaultRowHeight="15" customHeight="1"/>
  <cols>
    <col min="1" max="1" width="4.28125" style="16" bestFit="1" customWidth="1"/>
    <col min="2" max="2" width="50.28125" style="17" bestFit="1" customWidth="1"/>
    <col min="3" max="3" width="10.00390625" style="17" bestFit="1" customWidth="1"/>
    <col min="4" max="4" width="8.140625" style="17" bestFit="1" customWidth="1"/>
    <col min="5" max="5" width="9.140625" style="17" customWidth="1"/>
    <col min="6" max="6" width="7.57421875" style="17" bestFit="1" customWidth="1"/>
    <col min="7" max="7" width="9.00390625" style="17" bestFit="1" customWidth="1"/>
    <col min="8" max="8" width="7.28125" style="17" bestFit="1" customWidth="1"/>
    <col min="9" max="206" width="9.140625" style="17" customWidth="1"/>
    <col min="207" max="217" width="9.00390625" style="18" bestFit="1" customWidth="1"/>
    <col min="218" max="226" width="9.140625" style="0" customWidth="1"/>
    <col min="227" max="227" width="3.7109375" style="0" bestFit="1" customWidth="1"/>
    <col min="228" max="228" width="34.57421875" style="0" bestFit="1" customWidth="1"/>
  </cols>
  <sheetData>
    <row r="1" ht="16.5" customHeight="1">
      <c r="A1" s="19" t="s">
        <v>152</v>
      </c>
    </row>
    <row r="2" spans="1:7" ht="16.5" customHeight="1">
      <c r="A2" s="106" t="str">
        <f>Orçamento!A5</f>
        <v>LOCAL: COMPLEXO MILITAR DA GAMELEIRA - SUBSTITUIÇÃO DAS TUBULAÇÕES DA REDE DE DISTRIBUIÇÃO DE ÁGUA FRIA</v>
      </c>
      <c r="B2" s="106"/>
      <c r="C2" s="106"/>
      <c r="D2" s="106"/>
      <c r="E2" s="106"/>
      <c r="F2" s="21"/>
      <c r="G2" s="21"/>
    </row>
    <row r="3" spans="1:7" ht="16.5" customHeight="1">
      <c r="A3" s="106"/>
      <c r="B3" s="106"/>
      <c r="C3" s="106"/>
      <c r="D3" s="106"/>
      <c r="E3" s="106"/>
      <c r="F3" s="20"/>
      <c r="G3" s="20"/>
    </row>
    <row r="4" spans="1:7" ht="16.5" customHeight="1">
      <c r="A4" s="20"/>
      <c r="B4" s="20"/>
      <c r="C4" s="20"/>
      <c r="D4" s="20"/>
      <c r="E4" s="20"/>
      <c r="F4" s="20"/>
      <c r="G4" s="20"/>
    </row>
    <row r="5" spans="1:8" ht="16.5" customHeight="1">
      <c r="A5" s="22" t="s">
        <v>153</v>
      </c>
      <c r="B5" s="23"/>
      <c r="C5" s="23"/>
      <c r="E5" s="24"/>
      <c r="F5" s="23"/>
      <c r="G5" s="23"/>
      <c r="H5" s="25"/>
    </row>
    <row r="6" spans="1:8" s="15" customFormat="1" ht="12.75" customHeight="1">
      <c r="A6" s="26" t="s">
        <v>154</v>
      </c>
      <c r="B6" s="27" t="s">
        <v>155</v>
      </c>
      <c r="C6" s="27" t="s">
        <v>156</v>
      </c>
      <c r="D6" s="27" t="s">
        <v>157</v>
      </c>
      <c r="E6" s="107" t="s">
        <v>158</v>
      </c>
      <c r="F6" s="107"/>
      <c r="G6" s="107" t="s">
        <v>159</v>
      </c>
      <c r="H6" s="107"/>
    </row>
    <row r="7" spans="1:8" s="15" customFormat="1" ht="12.75" customHeight="1">
      <c r="A7" s="28">
        <v>1</v>
      </c>
      <c r="B7" s="29" t="str">
        <f>Orçamento!B8</f>
        <v>SERVIÇOS PRELIMINARES</v>
      </c>
      <c r="C7" s="30">
        <f>Orçamento!H8</f>
        <v>0</v>
      </c>
      <c r="D7" s="31" t="e">
        <f aca="true" t="shared" si="0" ref="D7:D12">+C7/$C$13</f>
        <v>#DIV/0!</v>
      </c>
      <c r="E7" s="32">
        <f>$C$7*F7</f>
        <v>0</v>
      </c>
      <c r="F7" s="33">
        <v>0.7</v>
      </c>
      <c r="G7" s="34">
        <f>$C$7*H7</f>
        <v>0</v>
      </c>
      <c r="H7" s="35">
        <v>0.30000000000000004</v>
      </c>
    </row>
    <row r="8" spans="1:8" ht="15.75" customHeight="1">
      <c r="A8" s="28">
        <v>2</v>
      </c>
      <c r="B8" s="29" t="str">
        <f>Orçamento!B16</f>
        <v>DEMOLIÇÃO E MOVIMENTAÇÃO DE TERRA</v>
      </c>
      <c r="C8" s="30">
        <f>Orçamento!H16</f>
        <v>0</v>
      </c>
      <c r="D8" s="31" t="e">
        <f t="shared" si="0"/>
        <v>#DIV/0!</v>
      </c>
      <c r="E8" s="32">
        <f>$C$8*F8</f>
        <v>0</v>
      </c>
      <c r="F8" s="33">
        <v>0.8</v>
      </c>
      <c r="G8" s="34">
        <f>$C$8*H8</f>
        <v>0</v>
      </c>
      <c r="H8" s="35">
        <v>0.2</v>
      </c>
    </row>
    <row r="9" spans="1:8" ht="15.75" customHeight="1">
      <c r="A9" s="28">
        <v>3</v>
      </c>
      <c r="B9" s="36" t="str">
        <f>Orçamento!B27</f>
        <v>TUBOS E CONEXÕES HIDROSSANITÁRIOS</v>
      </c>
      <c r="C9" s="30">
        <f>Orçamento!H27</f>
        <v>0</v>
      </c>
      <c r="D9" s="31" t="e">
        <f t="shared" si="0"/>
        <v>#DIV/0!</v>
      </c>
      <c r="E9" s="32">
        <f>$C$9*F9</f>
        <v>0</v>
      </c>
      <c r="F9" s="33">
        <v>0.2</v>
      </c>
      <c r="G9" s="34">
        <f>$C$9*H9</f>
        <v>0</v>
      </c>
      <c r="H9" s="35">
        <v>0.8</v>
      </c>
    </row>
    <row r="10" spans="1:8" ht="15.75" customHeight="1">
      <c r="A10" s="28">
        <v>4</v>
      </c>
      <c r="B10" s="29" t="str">
        <f>Orçamento!B44</f>
        <v>METAIS HIDROSSANITÁRIOS E ABRIGOS</v>
      </c>
      <c r="C10" s="30">
        <f>Orçamento!H44</f>
        <v>0</v>
      </c>
      <c r="D10" s="31" t="e">
        <f t="shared" si="0"/>
        <v>#DIV/0!</v>
      </c>
      <c r="E10" s="32"/>
      <c r="F10" s="33"/>
      <c r="G10" s="34">
        <f>$C$10*H10</f>
        <v>0</v>
      </c>
      <c r="H10" s="35">
        <v>1</v>
      </c>
    </row>
    <row r="11" spans="1:8" ht="15.75" customHeight="1">
      <c r="A11" s="28">
        <v>5</v>
      </c>
      <c r="B11" s="29" t="str">
        <f>Orçamento!B48</f>
        <v>RECOMPOSIÇÃO DE PAVIMENTO E OUTROS</v>
      </c>
      <c r="C11" s="30">
        <f>Orçamento!H48</f>
        <v>0</v>
      </c>
      <c r="D11" s="31" t="e">
        <f t="shared" si="0"/>
        <v>#DIV/0!</v>
      </c>
      <c r="E11" s="32"/>
      <c r="F11" s="33"/>
      <c r="G11" s="34">
        <f>$C$11*H11</f>
        <v>0</v>
      </c>
      <c r="H11" s="35">
        <v>1</v>
      </c>
    </row>
    <row r="12" spans="1:8" ht="15.75" customHeight="1">
      <c r="A12" s="28">
        <v>6</v>
      </c>
      <c r="B12" s="29" t="str">
        <f>Orçamento!B76</f>
        <v>LIMPEZA</v>
      </c>
      <c r="C12" s="30">
        <f>Orçamento!H76</f>
        <v>0</v>
      </c>
      <c r="D12" s="31" t="e">
        <f t="shared" si="0"/>
        <v>#DIV/0!</v>
      </c>
      <c r="E12" s="32"/>
      <c r="F12" s="33"/>
      <c r="G12" s="34">
        <f>$C$12*H12</f>
        <v>0</v>
      </c>
      <c r="H12" s="35">
        <v>1</v>
      </c>
    </row>
    <row r="13" spans="1:8" ht="15.75" customHeight="1">
      <c r="A13" s="108" t="s">
        <v>160</v>
      </c>
      <c r="B13" s="108"/>
      <c r="C13" s="27">
        <f>C7+C8+C9+C10+C11+C12</f>
        <v>0</v>
      </c>
      <c r="D13" s="37" t="e">
        <f>SUM(D7:D12)</f>
        <v>#DIV/0!</v>
      </c>
      <c r="E13" s="38">
        <f>SUM(E7:E12)</f>
        <v>0</v>
      </c>
      <c r="F13" s="39" t="e">
        <f>+E13/$C$13</f>
        <v>#DIV/0!</v>
      </c>
      <c r="G13" s="38">
        <f>SUM(G7:G12)</f>
        <v>0</v>
      </c>
      <c r="H13" s="39" t="e">
        <f>+G13/$C$13</f>
        <v>#DIV/0!</v>
      </c>
    </row>
    <row r="14" spans="1:8" ht="15.75" customHeight="1">
      <c r="A14" s="108" t="s">
        <v>161</v>
      </c>
      <c r="B14" s="108"/>
      <c r="C14" s="29"/>
      <c r="D14" s="29"/>
      <c r="E14" s="29"/>
      <c r="F14" s="29"/>
      <c r="G14" s="40">
        <f>+E13+G13</f>
        <v>0</v>
      </c>
      <c r="H14" s="39" t="e">
        <f>+F13+H13</f>
        <v>#DIV/0!</v>
      </c>
    </row>
    <row r="15" ht="15.75" customHeight="1"/>
    <row r="16" ht="15.75" customHeight="1"/>
    <row r="17" spans="1:8" ht="15.75" customHeight="1">
      <c r="A17" s="109" t="s">
        <v>150</v>
      </c>
      <c r="B17" s="109"/>
      <c r="C17" s="109"/>
      <c r="D17" s="109"/>
      <c r="E17" s="109"/>
      <c r="F17" s="109"/>
      <c r="G17" s="109"/>
      <c r="H17" s="109"/>
    </row>
    <row r="18" spans="1:8" ht="15.75" customHeight="1">
      <c r="A18" s="97" t="s">
        <v>151</v>
      </c>
      <c r="B18" s="97"/>
      <c r="C18" s="97"/>
      <c r="D18" s="97"/>
      <c r="E18" s="97"/>
      <c r="F18" s="97"/>
      <c r="G18" s="97"/>
      <c r="H18" s="97"/>
    </row>
    <row r="20" ht="27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18:H18"/>
    <mergeCell ref="A2:E3"/>
    <mergeCell ref="E6:F6"/>
    <mergeCell ref="G6:H6"/>
    <mergeCell ref="A13:B13"/>
    <mergeCell ref="A14:B14"/>
    <mergeCell ref="A17:H17"/>
  </mergeCells>
  <printOptions horizontalCentered="1"/>
  <pageMargins left="0.31527777777777777" right="0.31527777777777777" top="0.5902777777777778" bottom="0.393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1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11.421875" defaultRowHeight="15.75" customHeight="1"/>
  <cols>
    <col min="1" max="1" width="11.421875" style="0" customWidth="1"/>
    <col min="2" max="2" width="24.00390625" style="0" bestFit="1" customWidth="1"/>
    <col min="3" max="3" width="5.8515625" style="0" bestFit="1" customWidth="1"/>
    <col min="4" max="4" width="5.421875" style="0" bestFit="1" customWidth="1"/>
    <col min="5" max="5" width="5.8515625" style="0" bestFit="1" customWidth="1"/>
    <col min="6" max="6" width="4.140625" style="0" bestFit="1" customWidth="1"/>
    <col min="7" max="7" width="5.140625" style="0" bestFit="1" customWidth="1"/>
    <col min="8" max="8" width="5.00390625" style="0" bestFit="1" customWidth="1"/>
    <col min="9" max="9" width="26.57421875" style="0" bestFit="1" customWidth="1"/>
  </cols>
  <sheetData>
    <row r="2" spans="2:10" ht="15.75" customHeight="1">
      <c r="B2" s="121" t="s">
        <v>162</v>
      </c>
      <c r="C2" s="121"/>
      <c r="D2" s="121"/>
      <c r="E2" s="121"/>
      <c r="F2" s="121"/>
      <c r="G2" s="121"/>
      <c r="H2" s="121"/>
      <c r="I2" s="121"/>
      <c r="J2" s="121"/>
    </row>
    <row r="3" spans="2:10" ht="15.75" customHeight="1">
      <c r="B3" s="122"/>
      <c r="C3" s="122"/>
      <c r="D3" s="122"/>
      <c r="E3" s="122"/>
      <c r="F3" s="122"/>
      <c r="G3" s="122"/>
      <c r="H3" s="122"/>
      <c r="I3" s="122"/>
      <c r="J3" s="122"/>
    </row>
    <row r="4" spans="2:10" ht="15.75" customHeight="1">
      <c r="B4" s="121" t="s">
        <v>163</v>
      </c>
      <c r="C4" s="121"/>
      <c r="D4" s="121"/>
      <c r="E4" s="121"/>
      <c r="F4" s="121"/>
      <c r="G4" s="121"/>
      <c r="H4" s="121"/>
      <c r="I4" s="121"/>
      <c r="J4" s="121"/>
    </row>
    <row r="5" ht="15.75" customHeight="1">
      <c r="B5" t="s">
        <v>164</v>
      </c>
    </row>
    <row r="6" spans="2:10" ht="15.75" customHeight="1">
      <c r="B6" s="1" t="str">
        <f>Orçamento!A5</f>
        <v>LOCAL: COMPLEXO MILITAR DA GAMELEIRA - SUBSTITUIÇÃO DAS TUBULAÇÕES DA REDE DE DISTRIBUIÇÃO DE ÁGUA FRIA</v>
      </c>
      <c r="C6" s="1"/>
      <c r="D6" s="2"/>
      <c r="E6" s="2"/>
      <c r="F6" s="2"/>
      <c r="G6" s="2"/>
      <c r="H6" s="2"/>
      <c r="I6" s="1"/>
      <c r="J6" s="2"/>
    </row>
    <row r="8" spans="2:10" ht="15.75" customHeight="1">
      <c r="B8" s="123" t="s">
        <v>165</v>
      </c>
      <c r="C8" s="123"/>
      <c r="D8" s="123"/>
      <c r="E8" s="123"/>
      <c r="F8" s="123"/>
      <c r="G8" s="123"/>
      <c r="H8" s="123"/>
      <c r="I8" s="123"/>
      <c r="J8" s="123"/>
    </row>
    <row r="9" spans="2:10" ht="27" customHeight="1">
      <c r="B9" s="3" t="s">
        <v>166</v>
      </c>
      <c r="C9" s="124" t="s">
        <v>167</v>
      </c>
      <c r="D9" s="124"/>
      <c r="E9" s="124"/>
      <c r="F9" s="124"/>
      <c r="G9" s="124"/>
      <c r="H9" s="124"/>
      <c r="I9" s="116" t="s">
        <v>168</v>
      </c>
      <c r="J9" s="116"/>
    </row>
    <row r="10" spans="2:10" ht="15.75" customHeight="1">
      <c r="B10" s="4" t="s">
        <v>169</v>
      </c>
      <c r="C10" s="5" t="s">
        <v>170</v>
      </c>
      <c r="D10" s="119">
        <v>0.03</v>
      </c>
      <c r="E10" s="119"/>
      <c r="F10" s="6" t="s">
        <v>171</v>
      </c>
      <c r="G10" s="120">
        <v>0.055</v>
      </c>
      <c r="H10" s="120"/>
      <c r="I10" s="4" t="s">
        <v>169</v>
      </c>
      <c r="J10" s="13">
        <v>0.03</v>
      </c>
    </row>
    <row r="11" spans="2:10" ht="15.75" customHeight="1">
      <c r="B11" s="4" t="s">
        <v>172</v>
      </c>
      <c r="C11" s="7" t="s">
        <v>170</v>
      </c>
      <c r="D11" s="117">
        <v>0.008</v>
      </c>
      <c r="E11" s="117"/>
      <c r="F11" s="8" t="s">
        <v>171</v>
      </c>
      <c r="G11" s="118">
        <v>0.01</v>
      </c>
      <c r="H11" s="118"/>
      <c r="I11" s="4" t="s">
        <v>172</v>
      </c>
      <c r="J11" s="13">
        <v>0.008</v>
      </c>
    </row>
    <row r="12" spans="2:10" ht="15.75" customHeight="1">
      <c r="B12" s="4" t="s">
        <v>173</v>
      </c>
      <c r="C12" s="7" t="s">
        <v>170</v>
      </c>
      <c r="D12" s="117">
        <v>0.0097</v>
      </c>
      <c r="E12" s="117"/>
      <c r="F12" s="8" t="s">
        <v>171</v>
      </c>
      <c r="G12" s="118">
        <v>0.012700000000000001</v>
      </c>
      <c r="H12" s="118"/>
      <c r="I12" s="4" t="s">
        <v>173</v>
      </c>
      <c r="J12" s="13">
        <v>0.0097</v>
      </c>
    </row>
    <row r="13" spans="2:10" ht="15.75" customHeight="1">
      <c r="B13" s="4" t="s">
        <v>174</v>
      </c>
      <c r="C13" s="7" t="s">
        <v>170</v>
      </c>
      <c r="D13" s="117">
        <v>0.0059</v>
      </c>
      <c r="E13" s="117"/>
      <c r="F13" s="8" t="s">
        <v>171</v>
      </c>
      <c r="G13" s="118">
        <v>0.013900000000000001</v>
      </c>
      <c r="H13" s="118"/>
      <c r="I13" s="4" t="s">
        <v>174</v>
      </c>
      <c r="J13" s="13">
        <v>0.0059</v>
      </c>
    </row>
    <row r="14" spans="2:10" ht="15.75" customHeight="1">
      <c r="B14" s="4" t="s">
        <v>175</v>
      </c>
      <c r="C14" s="7" t="s">
        <v>170</v>
      </c>
      <c r="D14" s="117">
        <v>0.0616</v>
      </c>
      <c r="E14" s="117"/>
      <c r="F14" s="8" t="s">
        <v>171</v>
      </c>
      <c r="G14" s="118">
        <v>0.0896</v>
      </c>
      <c r="H14" s="118"/>
      <c r="I14" s="4" t="s">
        <v>175</v>
      </c>
      <c r="J14" s="13">
        <v>0.0616</v>
      </c>
    </row>
    <row r="15" spans="2:10" ht="15.75" customHeight="1">
      <c r="B15" s="4" t="s">
        <v>176</v>
      </c>
      <c r="C15" s="7" t="s">
        <v>170</v>
      </c>
      <c r="D15" s="117">
        <v>0.0565</v>
      </c>
      <c r="E15" s="117"/>
      <c r="F15" s="8" t="s">
        <v>171</v>
      </c>
      <c r="G15" s="118">
        <v>0.08650000000000001</v>
      </c>
      <c r="H15" s="118"/>
      <c r="I15" s="4" t="s">
        <v>176</v>
      </c>
      <c r="J15" s="13">
        <v>0.0565</v>
      </c>
    </row>
    <row r="16" spans="2:10" ht="15.75" customHeight="1">
      <c r="B16" s="4" t="s">
        <v>177</v>
      </c>
      <c r="C16" s="9"/>
      <c r="D16" s="114"/>
      <c r="E16" s="114"/>
      <c r="F16" s="10"/>
      <c r="G16" s="115">
        <v>0.045</v>
      </c>
      <c r="H16" s="115"/>
      <c r="I16" s="4" t="s">
        <v>177</v>
      </c>
      <c r="J16" s="13">
        <v>0.045</v>
      </c>
    </row>
    <row r="17" spans="2:10" ht="15.75" customHeight="1">
      <c r="B17" s="116" t="s">
        <v>178</v>
      </c>
      <c r="C17" s="116"/>
      <c r="D17" s="116"/>
      <c r="E17" s="116"/>
      <c r="F17" s="116"/>
      <c r="G17" s="116"/>
      <c r="H17" s="116"/>
      <c r="I17" s="116"/>
      <c r="J17" s="116"/>
    </row>
    <row r="18" spans="2:10" ht="15.75" customHeight="1">
      <c r="B18" s="11" t="s">
        <v>169</v>
      </c>
      <c r="C18" s="111" t="s">
        <v>179</v>
      </c>
      <c r="D18" s="111"/>
      <c r="E18" s="111"/>
      <c r="F18" s="111"/>
      <c r="G18" s="111"/>
      <c r="H18" s="111"/>
      <c r="I18" s="111"/>
      <c r="J18" s="111"/>
    </row>
    <row r="19" spans="2:13" ht="15.75" customHeight="1">
      <c r="B19" s="11" t="s">
        <v>172</v>
      </c>
      <c r="C19" s="111" t="s">
        <v>179</v>
      </c>
      <c r="D19" s="111"/>
      <c r="E19" s="111"/>
      <c r="F19" s="111"/>
      <c r="G19" s="111"/>
      <c r="H19" s="111"/>
      <c r="I19" s="111"/>
      <c r="J19" s="111"/>
      <c r="L19" t="s">
        <v>180</v>
      </c>
      <c r="M19" t="s">
        <v>181</v>
      </c>
    </row>
    <row r="20" spans="2:13" ht="15.75" customHeight="1">
      <c r="B20" s="11" t="s">
        <v>173</v>
      </c>
      <c r="C20" s="111" t="s">
        <v>179</v>
      </c>
      <c r="D20" s="111"/>
      <c r="E20" s="111"/>
      <c r="F20" s="111"/>
      <c r="G20" s="111"/>
      <c r="H20" s="111"/>
      <c r="I20" s="111"/>
      <c r="J20" s="111"/>
      <c r="L20">
        <f>0.2295</f>
        <v>0.2295</v>
      </c>
      <c r="M20">
        <v>0.278</v>
      </c>
    </row>
    <row r="21" spans="2:13" ht="15.75" customHeight="1">
      <c r="B21" s="11" t="s">
        <v>174</v>
      </c>
      <c r="C21" s="111" t="s">
        <v>179</v>
      </c>
      <c r="D21" s="111"/>
      <c r="E21" s="111"/>
      <c r="F21" s="111"/>
      <c r="G21" s="111"/>
      <c r="H21" s="111"/>
      <c r="I21" s="111"/>
      <c r="J21" s="111"/>
      <c r="L21">
        <v>0.2034</v>
      </c>
      <c r="M21">
        <v>0.25</v>
      </c>
    </row>
    <row r="22" spans="2:10" ht="15.75" customHeight="1">
      <c r="B22" s="11" t="s">
        <v>175</v>
      </c>
      <c r="C22" s="111" t="s">
        <v>179</v>
      </c>
      <c r="D22" s="111"/>
      <c r="E22" s="111"/>
      <c r="F22" s="111"/>
      <c r="G22" s="111"/>
      <c r="H22" s="111"/>
      <c r="I22" s="111"/>
      <c r="J22" s="111"/>
    </row>
    <row r="23" spans="2:10" ht="15.75" customHeight="1">
      <c r="B23" s="11" t="s">
        <v>176</v>
      </c>
      <c r="C23" s="111" t="s">
        <v>179</v>
      </c>
      <c r="D23" s="111"/>
      <c r="E23" s="111"/>
      <c r="F23" s="111"/>
      <c r="G23" s="111"/>
      <c r="H23" s="111"/>
      <c r="I23" s="111"/>
      <c r="J23" s="111"/>
    </row>
    <row r="24" spans="2:10" ht="15.75" customHeight="1">
      <c r="B24" s="11" t="s">
        <v>177</v>
      </c>
      <c r="C24" s="111" t="s">
        <v>179</v>
      </c>
      <c r="D24" s="111"/>
      <c r="E24" s="111"/>
      <c r="F24" s="111"/>
      <c r="G24" s="111"/>
      <c r="H24" s="111"/>
      <c r="I24" s="111"/>
      <c r="J24" s="111"/>
    </row>
    <row r="25" spans="2:10" ht="15.75" customHeight="1">
      <c r="B25" s="11" t="s">
        <v>182</v>
      </c>
      <c r="C25" s="112" t="s">
        <v>183</v>
      </c>
      <c r="D25" s="112"/>
      <c r="E25" s="112"/>
      <c r="F25" s="112"/>
      <c r="G25" s="112"/>
      <c r="H25" s="112"/>
      <c r="I25" s="112"/>
      <c r="J25" s="14">
        <f>ROUND(((1+J10+J11+J12)*(1+J13)*(1+J14)/(1-(J15+J16))-1),4)</f>
        <v>0.2452</v>
      </c>
    </row>
    <row r="26" spans="2:10" ht="15.75" customHeight="1">
      <c r="B26" s="11"/>
      <c r="C26" s="113" t="str">
        <f>IF(J16=0.02,IF(AND(J25&gt;=L20,J25&lt;=M20),L19,M19),IF(AND(J25&gt;=L21,J25&lt;=M21),L19,M19))</f>
        <v>BDI ADMISSÍVEL</v>
      </c>
      <c r="D26" s="113"/>
      <c r="E26" s="113"/>
      <c r="F26" s="113"/>
      <c r="G26" s="113"/>
      <c r="H26" s="113"/>
      <c r="I26" s="113"/>
      <c r="J26" s="113"/>
    </row>
    <row r="28" ht="15.75" customHeight="1">
      <c r="H28" s="12"/>
    </row>
    <row r="29" spans="2:10" ht="15.75" customHeight="1">
      <c r="B29" s="110" t="s">
        <v>184</v>
      </c>
      <c r="C29" s="110"/>
      <c r="D29" s="110"/>
      <c r="E29" s="110"/>
      <c r="F29" s="110"/>
      <c r="G29" s="110"/>
      <c r="H29" s="110"/>
      <c r="I29" s="110"/>
      <c r="J29" s="110"/>
    </row>
    <row r="30" spans="2:10" ht="15.75" customHeight="1">
      <c r="B30" s="110" t="s">
        <v>151</v>
      </c>
      <c r="C30" s="110"/>
      <c r="D30" s="110"/>
      <c r="E30" s="110"/>
      <c r="F30" s="110"/>
      <c r="G30" s="110"/>
      <c r="H30" s="110"/>
      <c r="I30" s="110"/>
      <c r="J30" s="110"/>
    </row>
    <row r="31" spans="2:10" ht="15.75" customHeight="1">
      <c r="B31" s="110"/>
      <c r="C31" s="110"/>
      <c r="D31" s="110"/>
      <c r="E31" s="110"/>
      <c r="F31" s="110"/>
      <c r="G31" s="110"/>
      <c r="H31" s="110"/>
      <c r="I31" s="110"/>
      <c r="J31" s="110"/>
    </row>
  </sheetData>
  <sheetProtection selectLockedCells="1" selectUnlockedCells="1"/>
  <mergeCells count="33">
    <mergeCell ref="B2:J2"/>
    <mergeCell ref="B3:J3"/>
    <mergeCell ref="B4:J4"/>
    <mergeCell ref="B8:J8"/>
    <mergeCell ref="C9:H9"/>
    <mergeCell ref="I9:J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B17:J17"/>
    <mergeCell ref="C18:J18"/>
    <mergeCell ref="C19:J19"/>
    <mergeCell ref="C20:J20"/>
    <mergeCell ref="B29:J29"/>
    <mergeCell ref="B30:J30"/>
    <mergeCell ref="B31:J31"/>
    <mergeCell ref="C21:J21"/>
    <mergeCell ref="C22:J22"/>
    <mergeCell ref="C23:J23"/>
    <mergeCell ref="C24:J24"/>
    <mergeCell ref="C25:I25"/>
    <mergeCell ref="C26:J26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 1 CL Herbert Diogo Frade Garbazza CMI</dc:creator>
  <cp:keywords/>
  <dc:description/>
  <cp:lastModifiedBy>SD 1 CL Herbert Diogo Frade Garbazza CMI</cp:lastModifiedBy>
  <cp:lastPrinted>2018-09-14T12:45:19Z</cp:lastPrinted>
  <dcterms:created xsi:type="dcterms:W3CDTF">2018-09-14T12:46:42Z</dcterms:created>
  <dcterms:modified xsi:type="dcterms:W3CDTF">2020-05-14T13:12:18Z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1046-11.2.0.9031</vt:lpwstr>
  </property>
</Properties>
</file>